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2.09.202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'12.09.2022'!$A$6:$CM$116</definedName>
  </definedNames>
  <calcPr calcId="125725"/>
</workbook>
</file>

<file path=xl/calcChain.xml><?xml version="1.0" encoding="utf-8"?>
<calcChain xmlns="http://schemas.openxmlformats.org/spreadsheetml/2006/main">
  <c r="CF108" i="4"/>
  <c r="CE108"/>
  <c r="CD108"/>
  <c r="CC108"/>
  <c r="BZ108"/>
  <c r="BY108"/>
  <c r="BX108"/>
  <c r="BW108"/>
  <c r="BT108"/>
  <c r="BS108"/>
  <c r="BR108"/>
  <c r="BK108"/>
  <c r="BJ108"/>
  <c r="BE108"/>
  <c r="BD108"/>
  <c r="BA108"/>
  <c r="AX108"/>
  <c r="AW108"/>
  <c r="AS108"/>
  <c r="AP108"/>
  <c r="AL108"/>
  <c r="AI108"/>
  <c r="AH108"/>
  <c r="AG108"/>
  <c r="AD108"/>
  <c r="AA108"/>
  <c r="V108"/>
  <c r="U108"/>
  <c r="T108"/>
  <c r="S108"/>
  <c r="N108"/>
  <c r="M108"/>
  <c r="L108"/>
  <c r="K108"/>
  <c r="H108"/>
  <c r="G108"/>
  <c r="F108"/>
  <c r="CH107"/>
  <c r="CB107"/>
  <c r="BV107"/>
  <c r="CI107" s="1"/>
  <c r="BN107"/>
  <c r="BH107"/>
  <c r="BO107" s="1"/>
  <c r="BB107"/>
  <c r="AT107"/>
  <c r="AM107"/>
  <c r="AE107"/>
  <c r="AU107" s="1"/>
  <c r="W107"/>
  <c r="X107" s="1"/>
  <c r="CJ107" s="1"/>
  <c r="P107"/>
  <c r="I107"/>
  <c r="BP107" s="1"/>
  <c r="CI106"/>
  <c r="CH106"/>
  <c r="CB106"/>
  <c r="BV106"/>
  <c r="BN106"/>
  <c r="BH106"/>
  <c r="BB106"/>
  <c r="BO106" s="1"/>
  <c r="AT106"/>
  <c r="AM106"/>
  <c r="AE106"/>
  <c r="AU106" s="1"/>
  <c r="W106"/>
  <c r="P106"/>
  <c r="BP106" s="1"/>
  <c r="I106"/>
  <c r="CH105"/>
  <c r="CI105" s="1"/>
  <c r="CB105"/>
  <c r="BV105"/>
  <c r="BO105"/>
  <c r="BN105"/>
  <c r="BH105"/>
  <c r="BB105"/>
  <c r="AT105"/>
  <c r="AM105"/>
  <c r="AE105"/>
  <c r="AU105" s="1"/>
  <c r="W105"/>
  <c r="P105"/>
  <c r="I105"/>
  <c r="BP105" s="1"/>
  <c r="CH104"/>
  <c r="CB104"/>
  <c r="CI104" s="1"/>
  <c r="BV104"/>
  <c r="BN104"/>
  <c r="BO104" s="1"/>
  <c r="BH104"/>
  <c r="BB104"/>
  <c r="AT104"/>
  <c r="AM104"/>
  <c r="AE104"/>
  <c r="AU104" s="1"/>
  <c r="X104"/>
  <c r="W104"/>
  <c r="P104"/>
  <c r="I104"/>
  <c r="BP104" s="1"/>
  <c r="CH103"/>
  <c r="CB103"/>
  <c r="BV103"/>
  <c r="CI103" s="1"/>
  <c r="BN103"/>
  <c r="BH103"/>
  <c r="BF103"/>
  <c r="AY103"/>
  <c r="BB103" s="1"/>
  <c r="BO103" s="1"/>
  <c r="AT103"/>
  <c r="AM103"/>
  <c r="AE103"/>
  <c r="AU103" s="1"/>
  <c r="W103"/>
  <c r="P103"/>
  <c r="I103"/>
  <c r="AF103" s="1"/>
  <c r="CH102"/>
  <c r="CB102"/>
  <c r="BV102"/>
  <c r="CI102" s="1"/>
  <c r="BN102"/>
  <c r="BH102"/>
  <c r="BB102"/>
  <c r="BO102" s="1"/>
  <c r="AT102"/>
  <c r="AM102"/>
  <c r="AE102"/>
  <c r="AU102" s="1"/>
  <c r="X102"/>
  <c r="CJ102" s="1"/>
  <c r="W102"/>
  <c r="P102"/>
  <c r="I102"/>
  <c r="BP102" s="1"/>
  <c r="CH101"/>
  <c r="CB101"/>
  <c r="BV101"/>
  <c r="CI101" s="1"/>
  <c r="BN101"/>
  <c r="BH101"/>
  <c r="BB101"/>
  <c r="BO101" s="1"/>
  <c r="AT101"/>
  <c r="AM101"/>
  <c r="AE101"/>
  <c r="AU101" s="1"/>
  <c r="W101"/>
  <c r="X101" s="1"/>
  <c r="P101"/>
  <c r="I101"/>
  <c r="BP101" s="1"/>
  <c r="CI100"/>
  <c r="CH100"/>
  <c r="CB100"/>
  <c r="BV100"/>
  <c r="BN100"/>
  <c r="BH100"/>
  <c r="BB100"/>
  <c r="BO100" s="1"/>
  <c r="AT100"/>
  <c r="AM100"/>
  <c r="AE100"/>
  <c r="AU100" s="1"/>
  <c r="W100"/>
  <c r="P100"/>
  <c r="BP100" s="1"/>
  <c r="I100"/>
  <c r="X100" s="1"/>
  <c r="CJ100" s="1"/>
  <c r="CH99"/>
  <c r="CB99"/>
  <c r="CI99" s="1"/>
  <c r="BV99"/>
  <c r="BO99"/>
  <c r="BN99"/>
  <c r="BH99"/>
  <c r="BB99"/>
  <c r="AT99"/>
  <c r="AM99"/>
  <c r="AE99"/>
  <c r="AU99" s="1"/>
  <c r="W99"/>
  <c r="P99"/>
  <c r="I99"/>
  <c r="BP99" s="1"/>
  <c r="CH98"/>
  <c r="CB98"/>
  <c r="BV98"/>
  <c r="CI98" s="1"/>
  <c r="BN98"/>
  <c r="BL98"/>
  <c r="BF98"/>
  <c r="BH98" s="1"/>
  <c r="BB98"/>
  <c r="BO98" s="1"/>
  <c r="AT98"/>
  <c r="AM98"/>
  <c r="AE98"/>
  <c r="AU98" s="1"/>
  <c r="W98"/>
  <c r="P98"/>
  <c r="AF98" s="1"/>
  <c r="I98"/>
  <c r="BP98" s="1"/>
  <c r="CH97"/>
  <c r="CB97"/>
  <c r="BV97"/>
  <c r="CI97" s="1"/>
  <c r="BO97"/>
  <c r="BN97"/>
  <c r="BH97"/>
  <c r="BB97"/>
  <c r="AT97"/>
  <c r="AM97"/>
  <c r="AE97"/>
  <c r="AU97" s="1"/>
  <c r="W97"/>
  <c r="P97"/>
  <c r="I97"/>
  <c r="BP97" s="1"/>
  <c r="CH96"/>
  <c r="CB96"/>
  <c r="BV96"/>
  <c r="CI96" s="1"/>
  <c r="BN96"/>
  <c r="BH96"/>
  <c r="BB96"/>
  <c r="BO96" s="1"/>
  <c r="AT96"/>
  <c r="AM96"/>
  <c r="AE96"/>
  <c r="AU96" s="1"/>
  <c r="X96"/>
  <c r="W96"/>
  <c r="P96"/>
  <c r="I96"/>
  <c r="BP96" s="1"/>
  <c r="CH95"/>
  <c r="CB95"/>
  <c r="BV95"/>
  <c r="CI95" s="1"/>
  <c r="BN95"/>
  <c r="BH95"/>
  <c r="BB95"/>
  <c r="BO95" s="1"/>
  <c r="AT95"/>
  <c r="AM95"/>
  <c r="AE95"/>
  <c r="AU95" s="1"/>
  <c r="W95"/>
  <c r="P95"/>
  <c r="I95"/>
  <c r="X95" s="1"/>
  <c r="CJ95" s="1"/>
  <c r="CI94"/>
  <c r="CH94"/>
  <c r="CB94"/>
  <c r="BV94"/>
  <c r="BN94"/>
  <c r="BH94"/>
  <c r="BB94"/>
  <c r="BO94" s="1"/>
  <c r="AY94"/>
  <c r="AT94"/>
  <c r="AM94"/>
  <c r="AE94"/>
  <c r="AU94" s="1"/>
  <c r="W94"/>
  <c r="BP94" s="1"/>
  <c r="P94"/>
  <c r="I94"/>
  <c r="X94" s="1"/>
  <c r="CJ94" s="1"/>
  <c r="CI93"/>
  <c r="CH93"/>
  <c r="CB93"/>
  <c r="BV93"/>
  <c r="BN93"/>
  <c r="BH93"/>
  <c r="BB93"/>
  <c r="BO93" s="1"/>
  <c r="AT93"/>
  <c r="AM93"/>
  <c r="AE93"/>
  <c r="AU93" s="1"/>
  <c r="W93"/>
  <c r="P93"/>
  <c r="BP93" s="1"/>
  <c r="I93"/>
  <c r="X93" s="1"/>
  <c r="CH92"/>
  <c r="CB92"/>
  <c r="BV92"/>
  <c r="CI92" s="1"/>
  <c r="BO92"/>
  <c r="BN92"/>
  <c r="BH92"/>
  <c r="BB92"/>
  <c r="AT92"/>
  <c r="AM92"/>
  <c r="AE92"/>
  <c r="AU92" s="1"/>
  <c r="Y92"/>
  <c r="W92"/>
  <c r="P92"/>
  <c r="I92"/>
  <c r="BP92" s="1"/>
  <c r="CH91"/>
  <c r="CB91"/>
  <c r="BV91"/>
  <c r="CI91" s="1"/>
  <c r="BO91"/>
  <c r="BN91"/>
  <c r="BH91"/>
  <c r="BB91"/>
  <c r="AT91"/>
  <c r="AM91"/>
  <c r="AE91"/>
  <c r="AU91" s="1"/>
  <c r="W91"/>
  <c r="P91"/>
  <c r="I91"/>
  <c r="BP91" s="1"/>
  <c r="CH90"/>
  <c r="CB90"/>
  <c r="BV90"/>
  <c r="CI90" s="1"/>
  <c r="BN90"/>
  <c r="BH90"/>
  <c r="BB90"/>
  <c r="BO90" s="1"/>
  <c r="AT90"/>
  <c r="AM90"/>
  <c r="AE90"/>
  <c r="AU90" s="1"/>
  <c r="X90"/>
  <c r="CJ90" s="1"/>
  <c r="W90"/>
  <c r="P90"/>
  <c r="I90"/>
  <c r="BP90" s="1"/>
  <c r="CH89"/>
  <c r="CB89"/>
  <c r="BV89"/>
  <c r="CI89" s="1"/>
  <c r="BQ89"/>
  <c r="BQ108" s="1"/>
  <c r="BO89"/>
  <c r="BN89"/>
  <c r="BH89"/>
  <c r="BB89"/>
  <c r="AT89"/>
  <c r="AM89"/>
  <c r="AE89"/>
  <c r="AU89" s="1"/>
  <c r="Y89"/>
  <c r="W89"/>
  <c r="P89"/>
  <c r="I89"/>
  <c r="BP89" s="1"/>
  <c r="CH88"/>
  <c r="CB88"/>
  <c r="BV88"/>
  <c r="CI88" s="1"/>
  <c r="BO88"/>
  <c r="BN88"/>
  <c r="BH88"/>
  <c r="BB88"/>
  <c r="AT88"/>
  <c r="AM88"/>
  <c r="AE88"/>
  <c r="AU88" s="1"/>
  <c r="W88"/>
  <c r="P88"/>
  <c r="I88"/>
  <c r="BP88" s="1"/>
  <c r="CH87"/>
  <c r="CB87"/>
  <c r="BV87"/>
  <c r="CI87" s="1"/>
  <c r="BN87"/>
  <c r="BH87"/>
  <c r="BB87"/>
  <c r="BO87" s="1"/>
  <c r="AT87"/>
  <c r="AM87"/>
  <c r="AE87"/>
  <c r="AU87" s="1"/>
  <c r="X87"/>
  <c r="W87"/>
  <c r="P87"/>
  <c r="I87"/>
  <c r="BP87" s="1"/>
  <c r="CH86"/>
  <c r="CB86"/>
  <c r="BV86"/>
  <c r="CI86" s="1"/>
  <c r="BN86"/>
  <c r="BH86"/>
  <c r="BB86"/>
  <c r="BO86" s="1"/>
  <c r="AT86"/>
  <c r="AM86"/>
  <c r="AE86"/>
  <c r="AU86" s="1"/>
  <c r="W86"/>
  <c r="P86"/>
  <c r="BP86" s="1"/>
  <c r="I86"/>
  <c r="X86" s="1"/>
  <c r="CJ86" s="1"/>
  <c r="CI85"/>
  <c r="CH85"/>
  <c r="CB85"/>
  <c r="BV85"/>
  <c r="BN85"/>
  <c r="BH85"/>
  <c r="BB85"/>
  <c r="BO85" s="1"/>
  <c r="AT85"/>
  <c r="AM85"/>
  <c r="AE85"/>
  <c r="AU85" s="1"/>
  <c r="W85"/>
  <c r="P85"/>
  <c r="BP85" s="1"/>
  <c r="I85"/>
  <c r="X85" s="1"/>
  <c r="CH84"/>
  <c r="CB84"/>
  <c r="BV84"/>
  <c r="CI84" s="1"/>
  <c r="BO84"/>
  <c r="BN84"/>
  <c r="BH84"/>
  <c r="BB84"/>
  <c r="AT84"/>
  <c r="AM84"/>
  <c r="AE84"/>
  <c r="AU84" s="1"/>
  <c r="W84"/>
  <c r="P84"/>
  <c r="I84"/>
  <c r="BP84" s="1"/>
  <c r="CH83"/>
  <c r="CB83"/>
  <c r="BV83"/>
  <c r="CI83" s="1"/>
  <c r="BN83"/>
  <c r="BL83"/>
  <c r="BF83"/>
  <c r="BH83" s="1"/>
  <c r="BB83"/>
  <c r="AY83"/>
  <c r="AT83"/>
  <c r="AM83"/>
  <c r="AE83"/>
  <c r="AU83" s="1"/>
  <c r="W83"/>
  <c r="P83"/>
  <c r="AF83" s="1"/>
  <c r="I83"/>
  <c r="X83" s="1"/>
  <c r="CI82"/>
  <c r="CH82"/>
  <c r="CB82"/>
  <c r="BV82"/>
  <c r="BN82"/>
  <c r="BH82"/>
  <c r="BB82"/>
  <c r="BO82" s="1"/>
  <c r="AT82"/>
  <c r="AM82"/>
  <c r="AE82"/>
  <c r="AU82" s="1"/>
  <c r="W82"/>
  <c r="P82"/>
  <c r="BP82" s="1"/>
  <c r="I82"/>
  <c r="X82" s="1"/>
  <c r="CH81"/>
  <c r="CB81"/>
  <c r="BV81"/>
  <c r="CI81" s="1"/>
  <c r="BN81"/>
  <c r="BL81"/>
  <c r="BL108" s="1"/>
  <c r="BF81"/>
  <c r="BH81" s="1"/>
  <c r="BO81" s="1"/>
  <c r="BB81"/>
  <c r="AY81"/>
  <c r="AT81"/>
  <c r="AM81"/>
  <c r="AE81"/>
  <c r="AU81" s="1"/>
  <c r="X81"/>
  <c r="W81"/>
  <c r="P81"/>
  <c r="I81"/>
  <c r="BP81" s="1"/>
  <c r="CH80"/>
  <c r="CB80"/>
  <c r="BV80"/>
  <c r="CI80" s="1"/>
  <c r="BN80"/>
  <c r="BH80"/>
  <c r="BB80"/>
  <c r="BO80" s="1"/>
  <c r="AT80"/>
  <c r="AM80"/>
  <c r="AE80"/>
  <c r="AU80" s="1"/>
  <c r="W80"/>
  <c r="P80"/>
  <c r="BP80" s="1"/>
  <c r="I80"/>
  <c r="X80" s="1"/>
  <c r="CI79"/>
  <c r="CH79"/>
  <c r="CB79"/>
  <c r="BV79"/>
  <c r="BN79"/>
  <c r="BH79"/>
  <c r="BB79"/>
  <c r="BO79" s="1"/>
  <c r="AT79"/>
  <c r="AM79"/>
  <c r="AE79"/>
  <c r="AU79" s="1"/>
  <c r="W79"/>
  <c r="P79"/>
  <c r="BP79" s="1"/>
  <c r="I79"/>
  <c r="X79" s="1"/>
  <c r="CH78"/>
  <c r="CB78"/>
  <c r="BV78"/>
  <c r="CI78" s="1"/>
  <c r="BN78"/>
  <c r="BF78"/>
  <c r="BC78"/>
  <c r="BH78" s="1"/>
  <c r="BO78" s="1"/>
  <c r="BB78"/>
  <c r="AY78"/>
  <c r="AV78"/>
  <c r="AT78"/>
  <c r="AQ78"/>
  <c r="AN78"/>
  <c r="AM78"/>
  <c r="AB78"/>
  <c r="Y78"/>
  <c r="AE78" s="1"/>
  <c r="AU78" s="1"/>
  <c r="W78"/>
  <c r="P78"/>
  <c r="I78"/>
  <c r="CH77"/>
  <c r="CB77"/>
  <c r="BV77"/>
  <c r="CI77" s="1"/>
  <c r="BN77"/>
  <c r="BH77"/>
  <c r="BB77"/>
  <c r="BO77" s="1"/>
  <c r="AT77"/>
  <c r="AM77"/>
  <c r="AE77"/>
  <c r="AU77" s="1"/>
  <c r="X77"/>
  <c r="W77"/>
  <c r="P77"/>
  <c r="I77"/>
  <c r="BP77" s="1"/>
  <c r="CH76"/>
  <c r="CB76"/>
  <c r="BV76"/>
  <c r="CI76" s="1"/>
  <c r="BN76"/>
  <c r="BH76"/>
  <c r="BB76"/>
  <c r="BO76" s="1"/>
  <c r="AT76"/>
  <c r="AM76"/>
  <c r="AE76"/>
  <c r="AU76" s="1"/>
  <c r="W76"/>
  <c r="P76"/>
  <c r="BP76" s="1"/>
  <c r="I76"/>
  <c r="X76" s="1"/>
  <c r="CJ76" s="1"/>
  <c r="CI75"/>
  <c r="CH75"/>
  <c r="CB75"/>
  <c r="BV75"/>
  <c r="BN75"/>
  <c r="BH75"/>
  <c r="BB75"/>
  <c r="BO75" s="1"/>
  <c r="AT75"/>
  <c r="AM75"/>
  <c r="AE75"/>
  <c r="AU75" s="1"/>
  <c r="W75"/>
  <c r="P75"/>
  <c r="BP75" s="1"/>
  <c r="I75"/>
  <c r="X75" s="1"/>
  <c r="CH74"/>
  <c r="CB74"/>
  <c r="BV74"/>
  <c r="CI74" s="1"/>
  <c r="BO74"/>
  <c r="BN74"/>
  <c r="BH74"/>
  <c r="BB74"/>
  <c r="AT74"/>
  <c r="AM74"/>
  <c r="AE74"/>
  <c r="AU74" s="1"/>
  <c r="W74"/>
  <c r="P74"/>
  <c r="I74"/>
  <c r="BP74" s="1"/>
  <c r="CH73"/>
  <c r="CB73"/>
  <c r="BV73"/>
  <c r="CI73" s="1"/>
  <c r="BN73"/>
  <c r="BH73"/>
  <c r="BB73"/>
  <c r="BO73" s="1"/>
  <c r="AT73"/>
  <c r="AM73"/>
  <c r="AE73"/>
  <c r="AU73" s="1"/>
  <c r="X73"/>
  <c r="CJ73" s="1"/>
  <c r="W73"/>
  <c r="P73"/>
  <c r="I73"/>
  <c r="BP73" s="1"/>
  <c r="CH72"/>
  <c r="CB72"/>
  <c r="BV72"/>
  <c r="CI72" s="1"/>
  <c r="BN72"/>
  <c r="BH72"/>
  <c r="BB72"/>
  <c r="BO72" s="1"/>
  <c r="AT72"/>
  <c r="AM72"/>
  <c r="AE72"/>
  <c r="AU72" s="1"/>
  <c r="W72"/>
  <c r="P72"/>
  <c r="BP72" s="1"/>
  <c r="I72"/>
  <c r="X72" s="1"/>
  <c r="CI71"/>
  <c r="CH71"/>
  <c r="CB71"/>
  <c r="BV71"/>
  <c r="BN71"/>
  <c r="BH71"/>
  <c r="BB71"/>
  <c r="BO71" s="1"/>
  <c r="AT71"/>
  <c r="AM71"/>
  <c r="AE71"/>
  <c r="AU71" s="1"/>
  <c r="W71"/>
  <c r="P71"/>
  <c r="BP71" s="1"/>
  <c r="I71"/>
  <c r="X71" s="1"/>
  <c r="CJ71" s="1"/>
  <c r="CH70"/>
  <c r="CB70"/>
  <c r="BV70"/>
  <c r="CI70" s="1"/>
  <c r="BO70"/>
  <c r="BN70"/>
  <c r="BH70"/>
  <c r="BB70"/>
  <c r="AT70"/>
  <c r="AM70"/>
  <c r="AE70"/>
  <c r="AU70" s="1"/>
  <c r="W70"/>
  <c r="P70"/>
  <c r="I70"/>
  <c r="BP70" s="1"/>
  <c r="CH69"/>
  <c r="CB69"/>
  <c r="BV69"/>
  <c r="CI69" s="1"/>
  <c r="BN69"/>
  <c r="BH69"/>
  <c r="BO69" s="1"/>
  <c r="BB69"/>
  <c r="AT69"/>
  <c r="AM69"/>
  <c r="AE69"/>
  <c r="AU69" s="1"/>
  <c r="X69"/>
  <c r="W69"/>
  <c r="P69"/>
  <c r="I69"/>
  <c r="BP69" s="1"/>
  <c r="CH68"/>
  <c r="CB68"/>
  <c r="BV68"/>
  <c r="CI68" s="1"/>
  <c r="BN68"/>
  <c r="BH68"/>
  <c r="BB68"/>
  <c r="BO68" s="1"/>
  <c r="AT68"/>
  <c r="AM68"/>
  <c r="AB68"/>
  <c r="AE68" s="1"/>
  <c r="AU68" s="1"/>
  <c r="X68"/>
  <c r="CJ68" s="1"/>
  <c r="W68"/>
  <c r="P68"/>
  <c r="I68"/>
  <c r="CH67"/>
  <c r="CB67"/>
  <c r="BV67"/>
  <c r="CI67" s="1"/>
  <c r="BN67"/>
  <c r="BH67"/>
  <c r="BB67"/>
  <c r="BO67" s="1"/>
  <c r="AT67"/>
  <c r="AM67"/>
  <c r="AE67"/>
  <c r="AU67" s="1"/>
  <c r="W67"/>
  <c r="P67"/>
  <c r="X67" s="1"/>
  <c r="CJ67" s="1"/>
  <c r="I67"/>
  <c r="CI66"/>
  <c r="CH66"/>
  <c r="CB66"/>
  <c r="BV66"/>
  <c r="BN66"/>
  <c r="BH66"/>
  <c r="BB66"/>
  <c r="BO66" s="1"/>
  <c r="AT66"/>
  <c r="AM66"/>
  <c r="AE66"/>
  <c r="AU66" s="1"/>
  <c r="W66"/>
  <c r="P66"/>
  <c r="BP66" s="1"/>
  <c r="I66"/>
  <c r="X66" s="1"/>
  <c r="CH65"/>
  <c r="CB65"/>
  <c r="CI65" s="1"/>
  <c r="BV65"/>
  <c r="BO65"/>
  <c r="BN65"/>
  <c r="BH65"/>
  <c r="BB65"/>
  <c r="AT65"/>
  <c r="AM65"/>
  <c r="AE65"/>
  <c r="AU65" s="1"/>
  <c r="W65"/>
  <c r="P65"/>
  <c r="I65"/>
  <c r="BP65" s="1"/>
  <c r="CH64"/>
  <c r="CB64"/>
  <c r="BV64"/>
  <c r="CI64" s="1"/>
  <c r="BN64"/>
  <c r="BH64"/>
  <c r="BO64" s="1"/>
  <c r="BB64"/>
  <c r="AT64"/>
  <c r="AM64"/>
  <c r="AE64"/>
  <c r="AU64" s="1"/>
  <c r="X64"/>
  <c r="W64"/>
  <c r="P64"/>
  <c r="I64"/>
  <c r="BP64" s="1"/>
  <c r="CH63"/>
  <c r="CB63"/>
  <c r="BV63"/>
  <c r="CI63" s="1"/>
  <c r="BN63"/>
  <c r="BH63"/>
  <c r="BB63"/>
  <c r="BO63" s="1"/>
  <c r="AT63"/>
  <c r="AM63"/>
  <c r="AE63"/>
  <c r="AU63" s="1"/>
  <c r="W63"/>
  <c r="P63"/>
  <c r="X63" s="1"/>
  <c r="I63"/>
  <c r="CI62"/>
  <c r="CH62"/>
  <c r="CB62"/>
  <c r="BV62"/>
  <c r="BN62"/>
  <c r="BH62"/>
  <c r="BB62"/>
  <c r="BO62" s="1"/>
  <c r="AY62"/>
  <c r="AV62"/>
  <c r="AT62"/>
  <c r="AQ62"/>
  <c r="AN62"/>
  <c r="AN108" s="1"/>
  <c r="AM62"/>
  <c r="AE62"/>
  <c r="AU62" s="1"/>
  <c r="W62"/>
  <c r="P62"/>
  <c r="BP62" s="1"/>
  <c r="I62"/>
  <c r="X62" s="1"/>
  <c r="CH61"/>
  <c r="CB61"/>
  <c r="BV61"/>
  <c r="CI61" s="1"/>
  <c r="BN61"/>
  <c r="BF61"/>
  <c r="BC61"/>
  <c r="BH61" s="1"/>
  <c r="BO61" s="1"/>
  <c r="BB61"/>
  <c r="AY61"/>
  <c r="AV61"/>
  <c r="AT61"/>
  <c r="AM61"/>
  <c r="AE61"/>
  <c r="AU61" s="1"/>
  <c r="W61"/>
  <c r="P61"/>
  <c r="I61"/>
  <c r="BP61" s="1"/>
  <c r="CH60"/>
  <c r="CB60"/>
  <c r="BV60"/>
  <c r="CI60" s="1"/>
  <c r="BN60"/>
  <c r="BH60"/>
  <c r="BB60"/>
  <c r="BO60" s="1"/>
  <c r="AT60"/>
  <c r="AM60"/>
  <c r="AE60"/>
  <c r="AU60" s="1"/>
  <c r="X60"/>
  <c r="CJ60" s="1"/>
  <c r="W60"/>
  <c r="P60"/>
  <c r="I60"/>
  <c r="BP60" s="1"/>
  <c r="CH59"/>
  <c r="CB59"/>
  <c r="BV59"/>
  <c r="CI59" s="1"/>
  <c r="BN59"/>
  <c r="BH59"/>
  <c r="BB59"/>
  <c r="BO59" s="1"/>
  <c r="AT59"/>
  <c r="AM59"/>
  <c r="AE59"/>
  <c r="AU59" s="1"/>
  <c r="W59"/>
  <c r="P59"/>
  <c r="BP59" s="1"/>
  <c r="I59"/>
  <c r="X59" s="1"/>
  <c r="CI58"/>
  <c r="CH58"/>
  <c r="CB58"/>
  <c r="BV58"/>
  <c r="BI58"/>
  <c r="BN58" s="1"/>
  <c r="BH58"/>
  <c r="BF58"/>
  <c r="BC58"/>
  <c r="AV58"/>
  <c r="BB58" s="1"/>
  <c r="BO58" s="1"/>
  <c r="AT58"/>
  <c r="AM58"/>
  <c r="AE58"/>
  <c r="AU58" s="1"/>
  <c r="Y58"/>
  <c r="W58"/>
  <c r="P58"/>
  <c r="I58"/>
  <c r="X58" s="1"/>
  <c r="CI57"/>
  <c r="CH57"/>
  <c r="CB57"/>
  <c r="BV57"/>
  <c r="BN57"/>
  <c r="BH57"/>
  <c r="BB57"/>
  <c r="BO57" s="1"/>
  <c r="AT57"/>
  <c r="AM57"/>
  <c r="AE57"/>
  <c r="AU57" s="1"/>
  <c r="W57"/>
  <c r="P57"/>
  <c r="BP57" s="1"/>
  <c r="I57"/>
  <c r="X57" s="1"/>
  <c r="CH56"/>
  <c r="CB56"/>
  <c r="BV56"/>
  <c r="CI56" s="1"/>
  <c r="BO56"/>
  <c r="BN56"/>
  <c r="BH56"/>
  <c r="BB56"/>
  <c r="AT56"/>
  <c r="AM56"/>
  <c r="AE56"/>
  <c r="AU56" s="1"/>
  <c r="W56"/>
  <c r="P56"/>
  <c r="I56"/>
  <c r="BP56" s="1"/>
  <c r="CH55"/>
  <c r="CB55"/>
  <c r="BV55"/>
  <c r="CI55" s="1"/>
  <c r="BN55"/>
  <c r="BI55"/>
  <c r="BI108" s="1"/>
  <c r="BC55"/>
  <c r="BC108" s="1"/>
  <c r="BB55"/>
  <c r="AV55"/>
  <c r="AV108" s="1"/>
  <c r="AT55"/>
  <c r="AM55"/>
  <c r="Y55"/>
  <c r="AE55" s="1"/>
  <c r="AU55" s="1"/>
  <c r="W55"/>
  <c r="Q55"/>
  <c r="J55"/>
  <c r="P55" s="1"/>
  <c r="X55" s="1"/>
  <c r="I55"/>
  <c r="D55"/>
  <c r="CI54"/>
  <c r="CH54"/>
  <c r="CB54"/>
  <c r="BV54"/>
  <c r="BN54"/>
  <c r="BH54"/>
  <c r="BB54"/>
  <c r="BO54" s="1"/>
  <c r="AT54"/>
  <c r="AM54"/>
  <c r="AE54"/>
  <c r="AU54" s="1"/>
  <c r="W54"/>
  <c r="P54"/>
  <c r="BP54" s="1"/>
  <c r="I54"/>
  <c r="X54" s="1"/>
  <c r="CJ54" s="1"/>
  <c r="CH53"/>
  <c r="CB53"/>
  <c r="BV53"/>
  <c r="CI53" s="1"/>
  <c r="BO53"/>
  <c r="BN53"/>
  <c r="BH53"/>
  <c r="BB53"/>
  <c r="AT53"/>
  <c r="AM53"/>
  <c r="AE53"/>
  <c r="AU53" s="1"/>
  <c r="W53"/>
  <c r="P53"/>
  <c r="I53"/>
  <c r="BP53" s="1"/>
  <c r="CH52"/>
  <c r="CB52"/>
  <c r="BV52"/>
  <c r="CI52" s="1"/>
  <c r="BN52"/>
  <c r="BH52"/>
  <c r="BB52"/>
  <c r="BO52" s="1"/>
  <c r="AT52"/>
  <c r="AM52"/>
  <c r="AE52"/>
  <c r="AU52" s="1"/>
  <c r="X52"/>
  <c r="W52"/>
  <c r="P52"/>
  <c r="I52"/>
  <c r="BP52" s="1"/>
  <c r="CH51"/>
  <c r="CB51"/>
  <c r="BV51"/>
  <c r="CI51" s="1"/>
  <c r="BN51"/>
  <c r="BH51"/>
  <c r="BB51"/>
  <c r="BO51" s="1"/>
  <c r="AT51"/>
  <c r="AM51"/>
  <c r="AE51"/>
  <c r="AU51" s="1"/>
  <c r="W51"/>
  <c r="P51"/>
  <c r="BP51" s="1"/>
  <c r="I51"/>
  <c r="X51" s="1"/>
  <c r="CI50"/>
  <c r="CH50"/>
  <c r="CB50"/>
  <c r="BV50"/>
  <c r="BN50"/>
  <c r="BH50"/>
  <c r="BB50"/>
  <c r="BO50" s="1"/>
  <c r="AT50"/>
  <c r="AM50"/>
  <c r="AE50"/>
  <c r="AU50" s="1"/>
  <c r="R50"/>
  <c r="W50" s="1"/>
  <c r="P50"/>
  <c r="I50"/>
  <c r="E50"/>
  <c r="E108" s="1"/>
  <c r="CH49"/>
  <c r="CB49"/>
  <c r="BV49"/>
  <c r="CI49" s="1"/>
  <c r="BN49"/>
  <c r="BH49"/>
  <c r="BF49"/>
  <c r="BF108" s="1"/>
  <c r="BB49"/>
  <c r="BO49" s="1"/>
  <c r="AY49"/>
  <c r="AY108" s="1"/>
  <c r="AT49"/>
  <c r="AM49"/>
  <c r="AE49"/>
  <c r="AU49" s="1"/>
  <c r="W49"/>
  <c r="P49"/>
  <c r="I49"/>
  <c r="AF49" s="1"/>
  <c r="CH48"/>
  <c r="CB48"/>
  <c r="BV48"/>
  <c r="CI48" s="1"/>
  <c r="BN48"/>
  <c r="BH48"/>
  <c r="BB48"/>
  <c r="BO48" s="1"/>
  <c r="AT48"/>
  <c r="AM48"/>
  <c r="AE48"/>
  <c r="AU48" s="1"/>
  <c r="X48"/>
  <c r="CJ48" s="1"/>
  <c r="W48"/>
  <c r="P48"/>
  <c r="I48"/>
  <c r="BP48" s="1"/>
  <c r="CH47"/>
  <c r="CB47"/>
  <c r="BV47"/>
  <c r="CI47" s="1"/>
  <c r="BN47"/>
  <c r="BH47"/>
  <c r="BB47"/>
  <c r="BO47" s="1"/>
  <c r="AT47"/>
  <c r="AM47"/>
  <c r="AE47"/>
  <c r="AU47" s="1"/>
  <c r="W47"/>
  <c r="Q47"/>
  <c r="O47"/>
  <c r="J47"/>
  <c r="P47" s="1"/>
  <c r="I47"/>
  <c r="D47"/>
  <c r="C47"/>
  <c r="CH46"/>
  <c r="CB46"/>
  <c r="BV46"/>
  <c r="CI46" s="1"/>
  <c r="BN46"/>
  <c r="BH46"/>
  <c r="BB46"/>
  <c r="BO46" s="1"/>
  <c r="AT46"/>
  <c r="AM46"/>
  <c r="AE46"/>
  <c r="AU46" s="1"/>
  <c r="W46"/>
  <c r="P46"/>
  <c r="BP46" s="1"/>
  <c r="I46"/>
  <c r="X46" s="1"/>
  <c r="CI45"/>
  <c r="CH45"/>
  <c r="CB45"/>
  <c r="BV45"/>
  <c r="BN45"/>
  <c r="BH45"/>
  <c r="BB45"/>
  <c r="BO45" s="1"/>
  <c r="AT45"/>
  <c r="AM45"/>
  <c r="AE45"/>
  <c r="AU45" s="1"/>
  <c r="R45"/>
  <c r="R108" s="1"/>
  <c r="Q45"/>
  <c r="W45" s="1"/>
  <c r="J45"/>
  <c r="P45" s="1"/>
  <c r="I45"/>
  <c r="D45"/>
  <c r="CH44"/>
  <c r="CB44"/>
  <c r="BV44"/>
  <c r="CI44" s="1"/>
  <c r="BO44"/>
  <c r="BN44"/>
  <c r="BH44"/>
  <c r="BB44"/>
  <c r="AT44"/>
  <c r="AM44"/>
  <c r="AE44"/>
  <c r="AU44" s="1"/>
  <c r="W44"/>
  <c r="P44"/>
  <c r="I44"/>
  <c r="BP44" s="1"/>
  <c r="CH43"/>
  <c r="CB43"/>
  <c r="BV43"/>
  <c r="CI43" s="1"/>
  <c r="BN43"/>
  <c r="BH43"/>
  <c r="BB43"/>
  <c r="BO43" s="1"/>
  <c r="AT43"/>
  <c r="AM43"/>
  <c r="AE43"/>
  <c r="AU43" s="1"/>
  <c r="X43"/>
  <c r="W43"/>
  <c r="P43"/>
  <c r="I43"/>
  <c r="BP43" s="1"/>
  <c r="CH42"/>
  <c r="CB42"/>
  <c r="BV42"/>
  <c r="CI42" s="1"/>
  <c r="BN42"/>
  <c r="BH42"/>
  <c r="BB42"/>
  <c r="BO42" s="1"/>
  <c r="AT42"/>
  <c r="AM42"/>
  <c r="AE42"/>
  <c r="AU42" s="1"/>
  <c r="W42"/>
  <c r="P42"/>
  <c r="O42"/>
  <c r="I42"/>
  <c r="C42"/>
  <c r="X42" s="1"/>
  <c r="CJ42" s="1"/>
  <c r="CH41"/>
  <c r="CB41"/>
  <c r="BV41"/>
  <c r="CI41" s="1"/>
  <c r="BN41"/>
  <c r="BH41"/>
  <c r="BB41"/>
  <c r="BO41" s="1"/>
  <c r="AT41"/>
  <c r="AM41"/>
  <c r="AE41"/>
  <c r="AU41" s="1"/>
  <c r="X41"/>
  <c r="CJ41" s="1"/>
  <c r="W41"/>
  <c r="P41"/>
  <c r="I41"/>
  <c r="BP41" s="1"/>
  <c r="CH40"/>
  <c r="CB40"/>
  <c r="BV40"/>
  <c r="CI40" s="1"/>
  <c r="BN40"/>
  <c r="BH40"/>
  <c r="BB40"/>
  <c r="BO40" s="1"/>
  <c r="AT40"/>
  <c r="AM40"/>
  <c r="AE40"/>
  <c r="AU40" s="1"/>
  <c r="W40"/>
  <c r="P40"/>
  <c r="BP40" s="1"/>
  <c r="I40"/>
  <c r="X40" s="1"/>
  <c r="CI39"/>
  <c r="CH39"/>
  <c r="CB39"/>
  <c r="BV39"/>
  <c r="BN39"/>
  <c r="BH39"/>
  <c r="BB39"/>
  <c r="BO39" s="1"/>
  <c r="AT39"/>
  <c r="AM39"/>
  <c r="AE39"/>
  <c r="AU39" s="1"/>
  <c r="Q39"/>
  <c r="W39" s="1"/>
  <c r="P39"/>
  <c r="J39"/>
  <c r="D39"/>
  <c r="I39" s="1"/>
  <c r="CH38"/>
  <c r="CB38"/>
  <c r="BV38"/>
  <c r="CI38" s="1"/>
  <c r="BN38"/>
  <c r="BH38"/>
  <c r="BB38"/>
  <c r="BO38" s="1"/>
  <c r="AT38"/>
  <c r="AM38"/>
  <c r="AE38"/>
  <c r="AU38" s="1"/>
  <c r="X38"/>
  <c r="W38"/>
  <c r="P38"/>
  <c r="I38"/>
  <c r="BP38" s="1"/>
  <c r="CH37"/>
  <c r="CB37"/>
  <c r="BV37"/>
  <c r="CI37" s="1"/>
  <c r="BN37"/>
  <c r="BH37"/>
  <c r="BB37"/>
  <c r="BO37" s="1"/>
  <c r="AT37"/>
  <c r="AM37"/>
  <c r="AE37"/>
  <c r="AU37" s="1"/>
  <c r="W37"/>
  <c r="Q37"/>
  <c r="J37"/>
  <c r="P37" s="1"/>
  <c r="I37"/>
  <c r="D37"/>
  <c r="CH36"/>
  <c r="CB36"/>
  <c r="BV36"/>
  <c r="CI36" s="1"/>
  <c r="BO36"/>
  <c r="BN36"/>
  <c r="BH36"/>
  <c r="BB36"/>
  <c r="AT36"/>
  <c r="AR36"/>
  <c r="AR108" s="1"/>
  <c r="AQ36"/>
  <c r="AM36"/>
  <c r="AK36"/>
  <c r="AK108" s="1"/>
  <c r="AJ36"/>
  <c r="AJ108" s="1"/>
  <c r="AE36"/>
  <c r="AU36" s="1"/>
  <c r="AC36"/>
  <c r="AC108" s="1"/>
  <c r="AB36"/>
  <c r="W36"/>
  <c r="Q36"/>
  <c r="O36"/>
  <c r="J36"/>
  <c r="P36" s="1"/>
  <c r="I36"/>
  <c r="D36"/>
  <c r="C36"/>
  <c r="CH35"/>
  <c r="CB35"/>
  <c r="BV35"/>
  <c r="CI35" s="1"/>
  <c r="BN35"/>
  <c r="BH35"/>
  <c r="BB35"/>
  <c r="BO35" s="1"/>
  <c r="AT35"/>
  <c r="AM35"/>
  <c r="AE35"/>
  <c r="AU35" s="1"/>
  <c r="W35"/>
  <c r="Q35"/>
  <c r="J35"/>
  <c r="P35" s="1"/>
  <c r="I35"/>
  <c r="BP35" s="1"/>
  <c r="D35"/>
  <c r="C35"/>
  <c r="X35" s="1"/>
  <c r="CI34"/>
  <c r="CH34"/>
  <c r="CB34"/>
  <c r="BV34"/>
  <c r="BN34"/>
  <c r="BH34"/>
  <c r="BB34"/>
  <c r="BO34" s="1"/>
  <c r="AT34"/>
  <c r="AM34"/>
  <c r="AE34"/>
  <c r="AU34" s="1"/>
  <c r="Q34"/>
  <c r="W34" s="1"/>
  <c r="P34"/>
  <c r="J34"/>
  <c r="D34"/>
  <c r="I34" s="1"/>
  <c r="C34"/>
  <c r="CH33"/>
  <c r="CB33"/>
  <c r="BV33"/>
  <c r="CI33" s="1"/>
  <c r="BO33"/>
  <c r="BN33"/>
  <c r="BH33"/>
  <c r="BB33"/>
  <c r="AT33"/>
  <c r="AM33"/>
  <c r="AE33"/>
  <c r="AU33" s="1"/>
  <c r="W33"/>
  <c r="Q33"/>
  <c r="P33"/>
  <c r="X33" s="1"/>
  <c r="J33"/>
  <c r="I33"/>
  <c r="BP33" s="1"/>
  <c r="D33"/>
  <c r="CH32"/>
  <c r="CB32"/>
  <c r="BV32"/>
  <c r="CI32" s="1"/>
  <c r="BN32"/>
  <c r="BH32"/>
  <c r="BB32"/>
  <c r="BO32" s="1"/>
  <c r="AT32"/>
  <c r="AM32"/>
  <c r="AE32"/>
  <c r="AU32" s="1"/>
  <c r="W32"/>
  <c r="P32"/>
  <c r="BP32" s="1"/>
  <c r="I32"/>
  <c r="X32" s="1"/>
  <c r="CI31"/>
  <c r="CH31"/>
  <c r="CB31"/>
  <c r="BV31"/>
  <c r="BN31"/>
  <c r="BH31"/>
  <c r="BB31"/>
  <c r="BO31" s="1"/>
  <c r="AT31"/>
  <c r="AM31"/>
  <c r="AE31"/>
  <c r="AU31" s="1"/>
  <c r="Q31"/>
  <c r="W31" s="1"/>
  <c r="P31"/>
  <c r="J31"/>
  <c r="D31"/>
  <c r="I31" s="1"/>
  <c r="CH30"/>
  <c r="CB30"/>
  <c r="BV30"/>
  <c r="CI30" s="1"/>
  <c r="BN30"/>
  <c r="BH30"/>
  <c r="BB30"/>
  <c r="BO30" s="1"/>
  <c r="AT30"/>
  <c r="AQ30"/>
  <c r="AQ108" s="1"/>
  <c r="AO30"/>
  <c r="AO108" s="1"/>
  <c r="AM30"/>
  <c r="AF30"/>
  <c r="AE30"/>
  <c r="AU30" s="1"/>
  <c r="AB30"/>
  <c r="Z30"/>
  <c r="Z108" s="1"/>
  <c r="X30"/>
  <c r="CJ30" s="1"/>
  <c r="W30"/>
  <c r="P30"/>
  <c r="I30"/>
  <c r="BP30" s="1"/>
  <c r="CH29"/>
  <c r="CB29"/>
  <c r="BV29"/>
  <c r="CI29" s="1"/>
  <c r="BN29"/>
  <c r="BH29"/>
  <c r="BB29"/>
  <c r="BO29" s="1"/>
  <c r="AT29"/>
  <c r="AM29"/>
  <c r="AE29"/>
  <c r="AU29" s="1"/>
  <c r="W29"/>
  <c r="Q29"/>
  <c r="J29"/>
  <c r="P29" s="1"/>
  <c r="I29"/>
  <c r="X29" s="1"/>
  <c r="D29"/>
  <c r="CH28"/>
  <c r="CB28"/>
  <c r="BV28"/>
  <c r="CI28" s="1"/>
  <c r="BO28"/>
  <c r="BN28"/>
  <c r="BH28"/>
  <c r="BB28"/>
  <c r="AT28"/>
  <c r="AM28"/>
  <c r="AE28"/>
  <c r="AU28" s="1"/>
  <c r="W28"/>
  <c r="P28"/>
  <c r="I28"/>
  <c r="BP28" s="1"/>
  <c r="CG27"/>
  <c r="CH27" s="1"/>
  <c r="CB27"/>
  <c r="CA27"/>
  <c r="BU27"/>
  <c r="BV27" s="1"/>
  <c r="CI27" s="1"/>
  <c r="BM27"/>
  <c r="BN27" s="1"/>
  <c r="BH27"/>
  <c r="BG27"/>
  <c r="AZ27"/>
  <c r="BB27" s="1"/>
  <c r="BO27" s="1"/>
  <c r="AT27"/>
  <c r="AM27"/>
  <c r="AE27"/>
  <c r="AU27" s="1"/>
  <c r="W27"/>
  <c r="P27"/>
  <c r="AF27" s="1"/>
  <c r="I27"/>
  <c r="X27" s="1"/>
  <c r="CH26"/>
  <c r="CB26"/>
  <c r="BV26"/>
  <c r="CI26" s="1"/>
  <c r="BO26"/>
  <c r="BN26"/>
  <c r="BH26"/>
  <c r="BB26"/>
  <c r="AT26"/>
  <c r="AM26"/>
  <c r="AE26"/>
  <c r="AU26" s="1"/>
  <c r="W26"/>
  <c r="P26"/>
  <c r="I26"/>
  <c r="BP26" s="1"/>
  <c r="CH25"/>
  <c r="CB25"/>
  <c r="BV25"/>
  <c r="CI25" s="1"/>
  <c r="BN25"/>
  <c r="BH25"/>
  <c r="BB25"/>
  <c r="BO25" s="1"/>
  <c r="AT25"/>
  <c r="AM25"/>
  <c r="AE25"/>
  <c r="AU25" s="1"/>
  <c r="X25"/>
  <c r="W25"/>
  <c r="P25"/>
  <c r="I25"/>
  <c r="BP25" s="1"/>
  <c r="CH24"/>
  <c r="CB24"/>
  <c r="BV24"/>
  <c r="CI24" s="1"/>
  <c r="BN24"/>
  <c r="BH24"/>
  <c r="BB24"/>
  <c r="BO24" s="1"/>
  <c r="AT24"/>
  <c r="AM24"/>
  <c r="AE24"/>
  <c r="AU24" s="1"/>
  <c r="W24"/>
  <c r="P24"/>
  <c r="BP24" s="1"/>
  <c r="I24"/>
  <c r="X24" s="1"/>
  <c r="CJ24" s="1"/>
  <c r="CI23"/>
  <c r="CH23"/>
  <c r="CB23"/>
  <c r="BV23"/>
  <c r="BN23"/>
  <c r="BH23"/>
  <c r="BB23"/>
  <c r="BO23" s="1"/>
  <c r="AT23"/>
  <c r="AM23"/>
  <c r="AE23"/>
  <c r="AU23" s="1"/>
  <c r="W23"/>
  <c r="P23"/>
  <c r="BP23" s="1"/>
  <c r="I23"/>
  <c r="X23" s="1"/>
  <c r="CH22"/>
  <c r="CB22"/>
  <c r="BV22"/>
  <c r="CI22" s="1"/>
  <c r="BO22"/>
  <c r="BN22"/>
  <c r="BH22"/>
  <c r="BB22"/>
  <c r="AT22"/>
  <c r="AM22"/>
  <c r="AE22"/>
  <c r="AU22" s="1"/>
  <c r="W22"/>
  <c r="P22"/>
  <c r="I22"/>
  <c r="BP22" s="1"/>
  <c r="CH21"/>
  <c r="CB21"/>
  <c r="BV21"/>
  <c r="CI21" s="1"/>
  <c r="BN21"/>
  <c r="BH21"/>
  <c r="BB21"/>
  <c r="BO21" s="1"/>
  <c r="AT21"/>
  <c r="AM21"/>
  <c r="AE21"/>
  <c r="AU21" s="1"/>
  <c r="X21"/>
  <c r="CJ21" s="1"/>
  <c r="W21"/>
  <c r="P21"/>
  <c r="I21"/>
  <c r="BP21" s="1"/>
  <c r="CH20"/>
  <c r="CB20"/>
  <c r="BV20"/>
  <c r="CI20" s="1"/>
  <c r="BN20"/>
  <c r="BH20"/>
  <c r="BB20"/>
  <c r="BO20" s="1"/>
  <c r="AT20"/>
  <c r="AM20"/>
  <c r="AE20"/>
  <c r="AU20" s="1"/>
  <c r="W20"/>
  <c r="P20"/>
  <c r="BP20" s="1"/>
  <c r="I20"/>
  <c r="X20" s="1"/>
  <c r="CH19"/>
  <c r="CG19"/>
  <c r="CG108" s="1"/>
  <c r="CA19"/>
  <c r="CA108" s="1"/>
  <c r="BV19"/>
  <c r="BU19"/>
  <c r="BU108" s="1"/>
  <c r="BN19"/>
  <c r="BM19"/>
  <c r="BM108" s="1"/>
  <c r="BG19"/>
  <c r="BG108" s="1"/>
  <c r="BB19"/>
  <c r="AZ19"/>
  <c r="AZ108" s="1"/>
  <c r="AT19"/>
  <c r="AM19"/>
  <c r="AE19"/>
  <c r="AU19" s="1"/>
  <c r="W19"/>
  <c r="Q19"/>
  <c r="J19"/>
  <c r="P19" s="1"/>
  <c r="X19" s="1"/>
  <c r="I19"/>
  <c r="D19"/>
  <c r="CI18"/>
  <c r="CH18"/>
  <c r="CB18"/>
  <c r="BV18"/>
  <c r="BN18"/>
  <c r="BH18"/>
  <c r="BB18"/>
  <c r="BO18" s="1"/>
  <c r="AT18"/>
  <c r="AM18"/>
  <c r="AE18"/>
  <c r="AU18" s="1"/>
  <c r="Q18"/>
  <c r="W18" s="1"/>
  <c r="P18"/>
  <c r="O18"/>
  <c r="O108" s="1"/>
  <c r="J18"/>
  <c r="I18"/>
  <c r="D18"/>
  <c r="C18"/>
  <c r="CI17"/>
  <c r="CH17"/>
  <c r="CB17"/>
  <c r="BV17"/>
  <c r="BN17"/>
  <c r="BH17"/>
  <c r="BB17"/>
  <c r="BO17" s="1"/>
  <c r="AT17"/>
  <c r="AM17"/>
  <c r="AE17"/>
  <c r="AU17" s="1"/>
  <c r="W17"/>
  <c r="P17"/>
  <c r="BP17" s="1"/>
  <c r="I17"/>
  <c r="X17" s="1"/>
  <c r="CH16"/>
  <c r="CB16"/>
  <c r="BV16"/>
  <c r="CI16" s="1"/>
  <c r="BO16"/>
  <c r="BN16"/>
  <c r="BH16"/>
  <c r="BB16"/>
  <c r="AT16"/>
  <c r="AM16"/>
  <c r="AE16"/>
  <c r="AU16" s="1"/>
  <c r="W16"/>
  <c r="P16"/>
  <c r="I16"/>
  <c r="BP16" s="1"/>
  <c r="CH15"/>
  <c r="CB15"/>
  <c r="BV15"/>
  <c r="CI15" s="1"/>
  <c r="BN15"/>
  <c r="BH15"/>
  <c r="BB15"/>
  <c r="BO15" s="1"/>
  <c r="AT15"/>
  <c r="AM15"/>
  <c r="AE15"/>
  <c r="AU15" s="1"/>
  <c r="X15"/>
  <c r="CJ15" s="1"/>
  <c r="W15"/>
  <c r="P15"/>
  <c r="I15"/>
  <c r="BP15" s="1"/>
  <c r="CH14"/>
  <c r="CB14"/>
  <c r="BV14"/>
  <c r="CI14" s="1"/>
  <c r="BN14"/>
  <c r="BH14"/>
  <c r="BB14"/>
  <c r="BO14" s="1"/>
  <c r="AT14"/>
  <c r="AM14"/>
  <c r="AE14"/>
  <c r="AU14" s="1"/>
  <c r="W14"/>
  <c r="P14"/>
  <c r="BP14" s="1"/>
  <c r="I14"/>
  <c r="X14" s="1"/>
  <c r="CI13"/>
  <c r="CH13"/>
  <c r="CB13"/>
  <c r="BV13"/>
  <c r="BN13"/>
  <c r="BH13"/>
  <c r="BB13"/>
  <c r="BO13" s="1"/>
  <c r="AT13"/>
  <c r="AM13"/>
  <c r="AE13"/>
  <c r="AU13" s="1"/>
  <c r="AB13"/>
  <c r="AB108" s="1"/>
  <c r="Y13"/>
  <c r="Y108" s="1"/>
  <c r="W13"/>
  <c r="Q13"/>
  <c r="J13"/>
  <c r="P13" s="1"/>
  <c r="I13"/>
  <c r="D13"/>
  <c r="CI12"/>
  <c r="CH12"/>
  <c r="CB12"/>
  <c r="BV12"/>
  <c r="BN12"/>
  <c r="BH12"/>
  <c r="BB12"/>
  <c r="BO12" s="1"/>
  <c r="AT12"/>
  <c r="AM12"/>
  <c r="AE12"/>
  <c r="AU12" s="1"/>
  <c r="Q12"/>
  <c r="W12" s="1"/>
  <c r="P12"/>
  <c r="J12"/>
  <c r="D12"/>
  <c r="I12" s="1"/>
  <c r="CH11"/>
  <c r="CB11"/>
  <c r="BV11"/>
  <c r="CI11" s="1"/>
  <c r="BN11"/>
  <c r="BH11"/>
  <c r="BB11"/>
  <c r="BO11" s="1"/>
  <c r="AT11"/>
  <c r="AM11"/>
  <c r="AE11"/>
  <c r="AU11" s="1"/>
  <c r="W11"/>
  <c r="Q11"/>
  <c r="J11"/>
  <c r="P11" s="1"/>
  <c r="X11" s="1"/>
  <c r="CJ11" s="1"/>
  <c r="I11"/>
  <c r="D11"/>
  <c r="CI10"/>
  <c r="CH10"/>
  <c r="CB10"/>
  <c r="BV10"/>
  <c r="BN10"/>
  <c r="BH10"/>
  <c r="BB10"/>
  <c r="BO10" s="1"/>
  <c r="AT10"/>
  <c r="AM10"/>
  <c r="AE10"/>
  <c r="AU10" s="1"/>
  <c r="Q10"/>
  <c r="W10" s="1"/>
  <c r="P10"/>
  <c r="J10"/>
  <c r="D10"/>
  <c r="I10" s="1"/>
  <c r="C10"/>
  <c r="C108" s="1"/>
  <c r="CH9"/>
  <c r="CB9"/>
  <c r="BV9"/>
  <c r="CI9" s="1"/>
  <c r="BO9"/>
  <c r="BN9"/>
  <c r="BH9"/>
  <c r="BB9"/>
  <c r="AT9"/>
  <c r="AM9"/>
  <c r="AE9"/>
  <c r="AU9" s="1"/>
  <c r="W9"/>
  <c r="Q9"/>
  <c r="P9"/>
  <c r="X9" s="1"/>
  <c r="J9"/>
  <c r="I9"/>
  <c r="BP9" s="1"/>
  <c r="D9"/>
  <c r="CH8"/>
  <c r="CB8"/>
  <c r="BV8"/>
  <c r="CI8" s="1"/>
  <c r="BN8"/>
  <c r="BH8"/>
  <c r="BB8"/>
  <c r="BO8" s="1"/>
  <c r="AT8"/>
  <c r="AM8"/>
  <c r="AE8"/>
  <c r="AU8" s="1"/>
  <c r="W8"/>
  <c r="Q8"/>
  <c r="Q108" s="1"/>
  <c r="J8"/>
  <c r="J108" s="1"/>
  <c r="I8"/>
  <c r="D8"/>
  <c r="D108" s="1"/>
  <c r="CH7"/>
  <c r="CH108" s="1"/>
  <c r="CB7"/>
  <c r="BV7"/>
  <c r="BV108" s="1"/>
  <c r="BO7"/>
  <c r="BN7"/>
  <c r="BN108" s="1"/>
  <c r="BH7"/>
  <c r="BB7"/>
  <c r="AT7"/>
  <c r="AT108" s="1"/>
  <c r="AM7"/>
  <c r="AM108" s="1"/>
  <c r="AE7"/>
  <c r="AE108" s="1"/>
  <c r="W7"/>
  <c r="P7"/>
  <c r="I7"/>
  <c r="BP7" s="1"/>
  <c r="CG4"/>
  <c r="CA4"/>
  <c r="BU4"/>
  <c r="BM4"/>
  <c r="BG4"/>
  <c r="AZ4"/>
  <c r="AR4"/>
  <c r="AK4"/>
  <c r="CG3"/>
  <c r="CA3"/>
  <c r="BU3"/>
  <c r="BM3"/>
  <c r="BG3"/>
  <c r="AZ3"/>
  <c r="AR3"/>
  <c r="AK3"/>
  <c r="AC3"/>
  <c r="U3"/>
  <c r="N3"/>
  <c r="BP34" l="1"/>
  <c r="AF34"/>
  <c r="BP39"/>
  <c r="AF39"/>
  <c r="X39"/>
  <c r="CJ39" s="1"/>
  <c r="BP50"/>
  <c r="AF50"/>
  <c r="BP18"/>
  <c r="BP11"/>
  <c r="CJ14"/>
  <c r="CJ23"/>
  <c r="CJ25"/>
  <c r="CJ32"/>
  <c r="X34"/>
  <c r="CJ34" s="1"/>
  <c r="CJ43"/>
  <c r="BP45"/>
  <c r="BP47"/>
  <c r="BH108"/>
  <c r="CJ58"/>
  <c r="CJ59"/>
  <c r="CJ62"/>
  <c r="CJ64"/>
  <c r="CJ69"/>
  <c r="CJ72"/>
  <c r="BP78"/>
  <c r="CJ93"/>
  <c r="AF12"/>
  <c r="X12"/>
  <c r="CJ12" s="1"/>
  <c r="BP12"/>
  <c r="BP13"/>
  <c r="X13"/>
  <c r="CJ13" s="1"/>
  <c r="AF13"/>
  <c r="W108"/>
  <c r="X18"/>
  <c r="CJ18" s="1"/>
  <c r="CJ51"/>
  <c r="CJ57"/>
  <c r="CJ66"/>
  <c r="CJ80"/>
  <c r="CJ83"/>
  <c r="BP31"/>
  <c r="AF31"/>
  <c r="X31"/>
  <c r="CJ31" s="1"/>
  <c r="CJ9"/>
  <c r="CJ27"/>
  <c r="CJ29"/>
  <c r="CJ33"/>
  <c r="CJ35"/>
  <c r="CJ17"/>
  <c r="CJ20"/>
  <c r="BP36"/>
  <c r="X37"/>
  <c r="CJ37" s="1"/>
  <c r="CJ38"/>
  <c r="CJ40"/>
  <c r="CJ46"/>
  <c r="X47"/>
  <c r="CJ47" s="1"/>
  <c r="X50"/>
  <c r="CJ50" s="1"/>
  <c r="CJ52"/>
  <c r="BB108"/>
  <c r="BP58"/>
  <c r="CJ63"/>
  <c r="BP68"/>
  <c r="CJ75"/>
  <c r="CJ77"/>
  <c r="CJ79"/>
  <c r="CJ81"/>
  <c r="CJ82"/>
  <c r="BO83"/>
  <c r="CJ85"/>
  <c r="CJ87"/>
  <c r="CJ96"/>
  <c r="CJ101"/>
  <c r="AF10"/>
  <c r="BP10"/>
  <c r="CJ104"/>
  <c r="AF14"/>
  <c r="X16"/>
  <c r="CJ16" s="1"/>
  <c r="AF20"/>
  <c r="X22"/>
  <c r="CJ22" s="1"/>
  <c r="AF24"/>
  <c r="X26"/>
  <c r="CJ26" s="1"/>
  <c r="BP27"/>
  <c r="X28"/>
  <c r="CJ28" s="1"/>
  <c r="AF29"/>
  <c r="BP29"/>
  <c r="AF32"/>
  <c r="AF35"/>
  <c r="AF37"/>
  <c r="BP37"/>
  <c r="AF40"/>
  <c r="AF42"/>
  <c r="BP42"/>
  <c r="X44"/>
  <c r="CJ44" s="1"/>
  <c r="AF46"/>
  <c r="AF47"/>
  <c r="X49"/>
  <c r="CJ49" s="1"/>
  <c r="BP49"/>
  <c r="AF51"/>
  <c r="X53"/>
  <c r="CJ53" s="1"/>
  <c r="AF55"/>
  <c r="X56"/>
  <c r="CJ56" s="1"/>
  <c r="AF59"/>
  <c r="X61"/>
  <c r="CJ61" s="1"/>
  <c r="AF63"/>
  <c r="BP63"/>
  <c r="X65"/>
  <c r="CJ65" s="1"/>
  <c r="AF67"/>
  <c r="BP67"/>
  <c r="AF68"/>
  <c r="X70"/>
  <c r="CJ70" s="1"/>
  <c r="AF72"/>
  <c r="X74"/>
  <c r="CJ74" s="1"/>
  <c r="AF76"/>
  <c r="X78"/>
  <c r="CJ78" s="1"/>
  <c r="AF78"/>
  <c r="AF80"/>
  <c r="X84"/>
  <c r="CJ84" s="1"/>
  <c r="AF86"/>
  <c r="X88"/>
  <c r="CJ88" s="1"/>
  <c r="X91"/>
  <c r="CJ91" s="1"/>
  <c r="AF94"/>
  <c r="AF95"/>
  <c r="BP95"/>
  <c r="X97"/>
  <c r="CJ97" s="1"/>
  <c r="X99"/>
  <c r="CJ99" s="1"/>
  <c r="AF101"/>
  <c r="X103"/>
  <c r="CJ103" s="1"/>
  <c r="BP103"/>
  <c r="X105"/>
  <c r="CJ105" s="1"/>
  <c r="AF107"/>
  <c r="I108"/>
  <c r="AU7"/>
  <c r="AU108" s="1"/>
  <c r="X7"/>
  <c r="P8"/>
  <c r="X8" s="1"/>
  <c r="CJ8" s="1"/>
  <c r="X10"/>
  <c r="CJ10" s="1"/>
  <c r="AF11"/>
  <c r="AF15"/>
  <c r="AF19"/>
  <c r="AF21"/>
  <c r="AF25"/>
  <c r="AF38"/>
  <c r="AF41"/>
  <c r="AF43"/>
  <c r="X45"/>
  <c r="CJ45" s="1"/>
  <c r="AF48"/>
  <c r="AF52"/>
  <c r="BH55"/>
  <c r="BP55" s="1"/>
  <c r="AF60"/>
  <c r="AF64"/>
  <c r="AF69"/>
  <c r="AF73"/>
  <c r="AF77"/>
  <c r="AF81"/>
  <c r="BP83"/>
  <c r="AF87"/>
  <c r="X89"/>
  <c r="CJ89" s="1"/>
  <c r="AF90"/>
  <c r="X92"/>
  <c r="CJ92" s="1"/>
  <c r="AF96"/>
  <c r="X98"/>
  <c r="CJ98" s="1"/>
  <c r="AF102"/>
  <c r="AF104"/>
  <c r="X106"/>
  <c r="CJ106" s="1"/>
  <c r="AF8"/>
  <c r="BP8"/>
  <c r="AF7"/>
  <c r="CI7"/>
  <c r="AF9"/>
  <c r="AF16"/>
  <c r="BH19"/>
  <c r="BO19" s="1"/>
  <c r="CJ19" s="1"/>
  <c r="CB19"/>
  <c r="CI19" s="1"/>
  <c r="AF22"/>
  <c r="AF26"/>
  <c r="AF28"/>
  <c r="AF33"/>
  <c r="X36"/>
  <c r="CJ36" s="1"/>
  <c r="AF36"/>
  <c r="AF44"/>
  <c r="AF53"/>
  <c r="AF56"/>
  <c r="AF61"/>
  <c r="AF65"/>
  <c r="AF70"/>
  <c r="AF74"/>
  <c r="AF84"/>
  <c r="AF88"/>
  <c r="AF89"/>
  <c r="AF91"/>
  <c r="AF92"/>
  <c r="AF97"/>
  <c r="AF99"/>
  <c r="AF105"/>
  <c r="AF17"/>
  <c r="AF18"/>
  <c r="AF23"/>
  <c r="AF45"/>
  <c r="AF54"/>
  <c r="AF57"/>
  <c r="AF58"/>
  <c r="AF62"/>
  <c r="AF66"/>
  <c r="AF71"/>
  <c r="AF75"/>
  <c r="AF79"/>
  <c r="AF82"/>
  <c r="AF85"/>
  <c r="AF93"/>
  <c r="AF100"/>
  <c r="AF106"/>
  <c r="X108" l="1"/>
  <c r="CJ7"/>
  <c r="P108"/>
  <c r="BO55"/>
  <c r="CJ55" s="1"/>
  <c r="BP19"/>
  <c r="BP108" s="1"/>
  <c r="AF108"/>
  <c r="CI108"/>
  <c r="CB108"/>
  <c r="CJ108" l="1"/>
  <c r="BO108"/>
</calcChain>
</file>

<file path=xl/sharedStrings.xml><?xml version="1.0" encoding="utf-8"?>
<sst xmlns="http://schemas.openxmlformats.org/spreadsheetml/2006/main" count="300" uniqueCount="234">
  <si>
    <t>Denumire Furnizor</t>
  </si>
  <si>
    <t>cheltuiala la decembrie 2021 25.01.2022</t>
  </si>
  <si>
    <t>valori contract ianuarie 2022</t>
  </si>
  <si>
    <t>val februarie</t>
  </si>
  <si>
    <t>martie</t>
  </si>
  <si>
    <t>trim i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</si>
  <si>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</si>
  <si>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</si>
  <si>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</si>
  <si>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</si>
  <si>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</si>
  <si>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</si>
  <si>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</si>
  <si>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</si>
  <si>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total la 9 luni</t>
  </si>
  <si>
    <t>octombrie</t>
  </si>
  <si>
    <t>noiembrie</t>
  </si>
  <si>
    <t>decembrie</t>
  </si>
  <si>
    <t>trim Iv</t>
  </si>
  <si>
    <t>total contract 2022</t>
  </si>
  <si>
    <t>drg</t>
  </si>
  <si>
    <t>cr</t>
  </si>
  <si>
    <t>pal</t>
  </si>
  <si>
    <t>ssz</t>
  </si>
  <si>
    <t>cheltuiala ianuarie 2022</t>
  </si>
  <si>
    <t>total</t>
  </si>
  <si>
    <t>centru de evaluare</t>
  </si>
  <si>
    <t>cheltuiala 22.03.2022</t>
  </si>
  <si>
    <t>centre de evaluare</t>
  </si>
  <si>
    <t>cheltuiala 28.04.2022</t>
  </si>
  <si>
    <t>pl</t>
  </si>
  <si>
    <t>ssz chimio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</si>
  <si>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</si>
  <si>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</si>
  <si>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</si>
  <si>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</si>
  <si>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</si>
  <si>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</si>
  <si>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</si>
  <si>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</si>
  <si>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</si>
  <si>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</si>
  <si>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</si>
  <si>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</si>
  <si>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</si>
  <si>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</si>
  <si>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</si>
  <si>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</si>
  <si>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</si>
  <si>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</si>
  <si>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</si>
  <si>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</si>
  <si>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</si>
  <si>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</si>
  <si>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</si>
  <si>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</si>
  <si>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</si>
  <si>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</si>
  <si>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</si>
  <si>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</si>
  <si>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</si>
  <si>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</si>
  <si>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</si>
  <si>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</si>
  <si>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</si>
  <si>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</si>
  <si>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</si>
  <si>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</si>
  <si>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</si>
  <si>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</si>
  <si>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</si>
  <si>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</si>
  <si>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</si>
  <si>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</si>
  <si>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</si>
  <si>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</si>
  <si>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</si>
  <si>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</si>
  <si>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</si>
  <si>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</si>
  <si>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</si>
  <si>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</si>
  <si>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</si>
  <si>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</si>
  <si>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</si>
  <si>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</si>
  <si>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</si>
  <si>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</si>
  <si>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</si>
  <si>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</si>
  <si>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</si>
  <si>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</si>
  <si>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</si>
  <si>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</si>
  <si>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</si>
  <si>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</si>
  <si>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</si>
  <si>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</si>
  <si>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</si>
  <si>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</si>
  <si>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</si>
  <si>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</si>
  <si>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</si>
  <si>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</si>
  <si>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</si>
  <si>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</si>
  <si>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</si>
  <si>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</si>
  <si>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</si>
  <si>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</si>
  <si>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</si>
  <si>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</si>
  <si>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</si>
  <si>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</si>
  <si>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</si>
  <si>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</si>
  <si>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</si>
  <si>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</si>
  <si>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</si>
  <si>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</si>
  <si>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</si>
  <si>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</si>
  <si>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</si>
  <si>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</si>
  <si>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</si>
  <si>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</si>
  <si>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</si>
  <si>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</si>
  <si>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</si>
  <si>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</si>
  <si>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</si>
  <si>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</si>
  <si>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</si>
  <si>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</si>
  <si>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</si>
  <si>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</si>
  <si>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</si>
  <si>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</si>
  <si>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</si>
  <si>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</si>
  <si>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</si>
  <si>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</si>
  <si>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</si>
  <si>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</si>
  <si>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</si>
  <si>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</si>
  <si>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</si>
  <si>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</si>
  <si>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</si>
  <si>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</si>
  <si>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</si>
  <si>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</si>
  <si>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</si>
  <si>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</si>
  <si>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</si>
  <si>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</si>
  <si>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</si>
  <si>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</si>
  <si>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</si>
  <si>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</si>
  <si>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</si>
  <si>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</si>
  <si>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</si>
  <si>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</si>
  <si>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</si>
  <si>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</si>
  <si>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</si>
  <si>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</si>
  <si>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</si>
  <si>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</si>
  <si>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</si>
  <si>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</si>
  <si>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</si>
  <si>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</si>
  <si>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</si>
  <si>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</si>
  <si>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</si>
  <si>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</si>
  <si>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</si>
  <si>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</si>
  <si>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</si>
  <si>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</si>
  <si>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</si>
  <si>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</si>
  <si>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</si>
  <si>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</si>
  <si>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</si>
  <si>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</si>
  <si>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</si>
  <si>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</si>
  <si>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</si>
  <si>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</si>
  <si>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</si>
  <si>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</si>
  <si>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</si>
  <si>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</si>
  <si>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</si>
  <si>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</si>
  <si>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</si>
  <si>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</si>
  <si>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</si>
  <si>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</si>
  <si>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</si>
  <si>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</si>
  <si>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</si>
  <si>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</si>
  <si>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B_156</t>
  </si>
  <si>
    <t>LOTUS MED</t>
  </si>
  <si>
    <t>B_154</t>
  </si>
  <si>
    <t>BIOMEDICA</t>
  </si>
  <si>
    <t>B_155</t>
  </si>
  <si>
    <t>GENESYS</t>
  </si>
  <si>
    <t>B_157</t>
  </si>
  <si>
    <t>RIA CLINIC</t>
  </si>
  <si>
    <t>B_158</t>
  </si>
  <si>
    <t>AIS CLINIC</t>
  </si>
  <si>
    <t>B_159</t>
  </si>
  <si>
    <t>INFOSAN</t>
  </si>
  <si>
    <t>B_160</t>
  </si>
  <si>
    <t>MEDICAL CITY</t>
  </si>
  <si>
    <t>B_161</t>
  </si>
  <si>
    <t>MEDEUROPA</t>
  </si>
  <si>
    <t>B_167</t>
  </si>
  <si>
    <t>SPITALUL DE ONCOLOGIE MONZA S.R.L.</t>
  </si>
  <si>
    <t>B_164</t>
  </si>
  <si>
    <t>INTERCARDIOCLINIQUE S.R.L.</t>
  </si>
  <si>
    <t>B_165</t>
  </si>
  <si>
    <t>DIAMEDICA HOSPITAL S.R.L.</t>
  </si>
  <si>
    <t>B_162</t>
  </si>
  <si>
    <t>DIGESTMED SRL</t>
  </si>
  <si>
    <t>B_163</t>
  </si>
  <si>
    <t>REVERA ASSISTED S.R.L.</t>
  </si>
  <si>
    <t>B_166</t>
  </si>
  <si>
    <t>IMUNOMEDICA PROVITA SRL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</si>
</sst>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3" fillId="2" borderId="0" xfId="1" applyFont="1" applyFill="1"/>
    <xf numFmtId="164" fontId="0" fillId="2" borderId="0" xfId="1" applyFont="1" applyFill="1"/>
    <xf numFmtId="0" fontId="0" fillId="2" borderId="0" xfId="0" applyFill="1"/>
    <xf numFmtId="164" fontId="0" fillId="2" borderId="0" xfId="0" applyNumberFormat="1" applyFill="1"/>
    <xf numFmtId="0" fontId="4" fillId="2" borderId="1" xfId="0" applyFont="1" applyFill="1" applyBorder="1"/>
    <xf numFmtId="164" fontId="4" fillId="2" borderId="2" xfId="1" applyFont="1" applyFill="1" applyBorder="1" applyAlignment="1">
      <alignment horizontal="center" wrapText="1"/>
    </xf>
    <xf numFmtId="164" fontId="4" fillId="2" borderId="1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0" fillId="2" borderId="2" xfId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4" fillId="2" borderId="3" xfId="1" applyFont="1" applyFill="1" applyBorder="1" applyAlignment="1">
      <alignment horizontal="center" wrapText="1"/>
    </xf>
    <xf numFmtId="164" fontId="4" fillId="2" borderId="1" xfId="1" applyFont="1" applyFill="1" applyBorder="1"/>
    <xf numFmtId="164" fontId="4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164" fontId="4" fillId="2" borderId="3" xfId="1" applyFont="1" applyFill="1" applyBorder="1" applyAlignment="1">
      <alignment horizontal="center"/>
    </xf>
    <xf numFmtId="164" fontId="0" fillId="2" borderId="1" xfId="1" applyFont="1" applyFill="1" applyBorder="1"/>
    <xf numFmtId="164" fontId="0" fillId="2" borderId="1" xfId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164" fontId="0" fillId="2" borderId="3" xfId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1" applyFont="1" applyFill="1" applyBorder="1"/>
    <xf numFmtId="164" fontId="3" fillId="2" borderId="1" xfId="1" applyFont="1" applyFill="1" applyBorder="1"/>
    <xf numFmtId="164" fontId="0" fillId="2" borderId="1" xfId="0" applyNumberFormat="1" applyFill="1" applyBorder="1"/>
    <xf numFmtId="164" fontId="1" fillId="2" borderId="1" xfId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2" borderId="0" xfId="0" applyFont="1" applyFill="1"/>
    <xf numFmtId="164" fontId="5" fillId="2" borderId="1" xfId="1" applyFont="1" applyFill="1" applyBorder="1"/>
    <xf numFmtId="164" fontId="6" fillId="2" borderId="1" xfId="1" applyFont="1" applyFill="1" applyBorder="1"/>
    <xf numFmtId="164" fontId="6" fillId="2" borderId="1" xfId="0" applyNumberFormat="1" applyFont="1" applyFill="1" applyBorder="1"/>
    <xf numFmtId="164" fontId="6" fillId="2" borderId="0" xfId="1" applyFont="1" applyFill="1"/>
    <xf numFmtId="164" fontId="6" fillId="2" borderId="0" xfId="0" applyNumberFormat="1" applyFont="1" applyFill="1"/>
    <xf numFmtId="0" fontId="6" fillId="2" borderId="0" xfId="0" applyFont="1" applyFill="1"/>
    <xf numFmtId="43" fontId="0" fillId="2" borderId="0" xfId="0" applyNumberFormat="1" applyFill="1"/>
    <xf numFmtId="164" fontId="2" fillId="2" borderId="0" xfId="1" applyFont="1" applyFill="1" applyAlignment="1">
      <alignment horizontal="center" wrapText="1"/>
    </xf>
    <xf numFmtId="164" fontId="4" fillId="2" borderId="0" xfId="1" applyFont="1" applyFill="1" applyBorder="1"/>
    <xf numFmtId="164" fontId="5" fillId="2" borderId="0" xfId="0" applyNumberFormat="1" applyFont="1" applyFill="1"/>
    <xf numFmtId="164" fontId="1" fillId="2" borderId="0" xfId="1" applyFont="1" applyFill="1"/>
    <xf numFmtId="164" fontId="6" fillId="2" borderId="1" xfId="1" applyFont="1" applyFill="1" applyBorder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M117"/>
  <sheetViews>
    <sheetView tabSelected="1" workbookViewId="0">
      <pane xSplit="2" ySplit="6" topLeftCell="CC28" activePane="bottomRight" state="frozen"/>
      <selection pane="topRight" activeCell="C1" sqref="C1"/>
      <selection pane="bottomLeft" activeCell="A7" sqref="A7"/>
      <selection pane="bottomRight" activeCell="CK42" sqref="CK42"/>
    </sheetView>
  </sheetViews>
  <sheetFormatPr defaultRowHeight="15"/>
  <cols>
    <col min="1" max="1" width="9.140625" style="1"/>
    <col min="2" max="2" width="46.5703125" style="1" customWidth="1"/>
    <col min="3" max="3" width="19.140625" style="2" customWidth="1"/>
    <col min="4" max="4" width="15" style="2" customWidth="1"/>
    <col min="5" max="5" width="13.85546875" style="2" customWidth="1"/>
    <col min="6" max="6" width="13.7109375" style="2" customWidth="1"/>
    <col min="7" max="8" width="14.7109375" style="2" customWidth="1"/>
    <col min="9" max="9" width="14.85546875" style="2" customWidth="1"/>
    <col min="10" max="10" width="15.42578125" style="2" customWidth="1"/>
    <col min="11" max="12" width="14.5703125" style="2" customWidth="1"/>
    <col min="13" max="13" width="14.140625" style="2" customWidth="1"/>
    <col min="14" max="14" width="15.5703125" style="2" customWidth="1"/>
    <col min="15" max="15" width="15.5703125" style="3" customWidth="1"/>
    <col min="16" max="16" width="17.5703125" style="2" customWidth="1"/>
    <col min="17" max="17" width="16" style="2" customWidth="1"/>
    <col min="18" max="18" width="15" style="2" customWidth="1"/>
    <col min="19" max="19" width="14" style="2" customWidth="1"/>
    <col min="20" max="20" width="15.140625" style="2" customWidth="1"/>
    <col min="21" max="21" width="13.28515625" style="2" customWidth="1"/>
    <col min="22" max="22" width="13.28515625" style="46" customWidth="1"/>
    <col min="23" max="24" width="18.42578125" style="2" customWidth="1"/>
    <col min="25" max="25" width="17.7109375" style="4" customWidth="1"/>
    <col min="26" max="26" width="15.85546875" style="4" customWidth="1"/>
    <col min="27" max="27" width="14.28515625" style="4" customWidth="1"/>
    <col min="28" max="28" width="14.140625" style="4" customWidth="1"/>
    <col min="29" max="29" width="14" style="4" customWidth="1"/>
    <col min="30" max="30" width="16.28515625" style="4" customWidth="1"/>
    <col min="31" max="32" width="15.7109375" style="5" customWidth="1"/>
    <col min="33" max="33" width="16.85546875" style="5" customWidth="1"/>
    <col min="34" max="34" width="14.85546875" style="5" customWidth="1"/>
    <col min="35" max="35" width="14.7109375" style="5" customWidth="1"/>
    <col min="36" max="36" width="15" style="5" customWidth="1"/>
    <col min="37" max="38" width="13.5703125" style="5" customWidth="1"/>
    <col min="39" max="39" width="15.85546875" style="5" customWidth="1"/>
    <col min="40" max="40" width="15.42578125" style="5" customWidth="1"/>
    <col min="41" max="41" width="16.7109375" style="5" customWidth="1"/>
    <col min="42" max="43" width="14.5703125" style="5" customWidth="1"/>
    <col min="44" max="45" width="16" style="5" customWidth="1"/>
    <col min="46" max="46" width="17.42578125" style="5" customWidth="1"/>
    <col min="47" max="47" width="17.5703125" style="5" customWidth="1"/>
    <col min="48" max="48" width="15.28515625" style="4" customWidth="1"/>
    <col min="49" max="49" width="14.85546875" style="4" customWidth="1"/>
    <col min="50" max="50" width="13.5703125" style="4" customWidth="1"/>
    <col min="51" max="51" width="15.7109375" style="4" customWidth="1"/>
    <col min="52" max="53" width="14" style="4" customWidth="1"/>
    <col min="54" max="54" width="15.140625" style="4" customWidth="1"/>
    <col min="55" max="55" width="15.7109375" style="4" customWidth="1"/>
    <col min="56" max="56" width="15.140625" style="4" customWidth="1"/>
    <col min="57" max="57" width="13" style="4" customWidth="1"/>
    <col min="58" max="58" width="14.7109375" style="4" customWidth="1"/>
    <col min="59" max="59" width="13.5703125" style="4" customWidth="1"/>
    <col min="60" max="60" width="15.28515625" style="4" customWidth="1"/>
    <col min="61" max="61" width="15.5703125" style="4" customWidth="1"/>
    <col min="62" max="62" width="14.28515625" style="4" customWidth="1"/>
    <col min="63" max="63" width="13.28515625" style="4" customWidth="1"/>
    <col min="64" max="64" width="14.42578125" style="4" customWidth="1"/>
    <col min="65" max="65" width="12.85546875" style="4" customWidth="1"/>
    <col min="66" max="66" width="16.28515625" style="4" customWidth="1"/>
    <col min="67" max="67" width="17.5703125" style="4" customWidth="1"/>
    <col min="68" max="68" width="18.140625" style="4" customWidth="1"/>
    <col min="69" max="69" width="15" style="4" customWidth="1"/>
    <col min="70" max="70" width="13" style="4" customWidth="1"/>
    <col min="71" max="71" width="11.7109375" style="4" customWidth="1"/>
    <col min="72" max="72" width="13" style="4" customWidth="1"/>
    <col min="73" max="73" width="13.5703125" style="4" customWidth="1"/>
    <col min="74" max="74" width="16" style="5" customWidth="1"/>
    <col min="75" max="75" width="14.28515625" style="4" bestFit="1" customWidth="1"/>
    <col min="76" max="78" width="13.28515625" style="4" bestFit="1" customWidth="1"/>
    <col min="79" max="79" width="11.5703125" style="4" bestFit="1" customWidth="1"/>
    <col min="80" max="80" width="14.28515625" style="4" bestFit="1" customWidth="1"/>
    <col min="81" max="82" width="14.28515625" style="5" customWidth="1"/>
    <col min="83" max="83" width="12.28515625" style="5" customWidth="1"/>
    <col min="84" max="84" width="14.5703125" style="5" customWidth="1"/>
    <col min="85" max="85" width="11.7109375" style="5" customWidth="1"/>
    <col min="86" max="86" width="14.28515625" style="5" customWidth="1"/>
    <col min="87" max="87" width="17.140625" style="5" customWidth="1"/>
    <col min="88" max="88" width="18.28515625" style="5" customWidth="1"/>
    <col min="89" max="89" width="16.85546875" style="4" bestFit="1" customWidth="1"/>
    <col min="90" max="90" width="16.85546875" style="5" bestFit="1" customWidth="1"/>
    <col min="91" max="91" width="14.5703125" style="5" customWidth="1"/>
    <col min="92" max="16384" width="9.140625" style="5"/>
  </cols>
  <sheetData>
    <row r="3" spans="1:88" s="4" customForma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+N20-73652.8</f>
        <v>0</v>
      </c>
      <c r="O3" s="3"/>
      <c r="P3" s="2"/>
      <c r="Q3" s="2"/>
      <c r="R3" s="2"/>
      <c r="S3" s="2"/>
      <c r="T3" s="2"/>
      <c r="U3" s="2">
        <f>+U20-15969.05</f>
        <v>0</v>
      </c>
      <c r="V3" s="46"/>
      <c r="W3" s="2"/>
      <c r="X3" s="2"/>
      <c r="AC3" s="4">
        <f>102637.45-3463.18</f>
        <v>99174.27</v>
      </c>
      <c r="AE3" s="5"/>
      <c r="AF3" s="5"/>
      <c r="AG3" s="6"/>
      <c r="AI3" s="5"/>
      <c r="AJ3" s="5"/>
      <c r="AK3" s="6">
        <f>+AK20</f>
        <v>0</v>
      </c>
      <c r="AL3" s="5"/>
      <c r="AM3" s="5"/>
      <c r="AN3" s="5"/>
      <c r="AO3" s="5"/>
      <c r="AP3" s="5"/>
      <c r="AQ3" s="5"/>
      <c r="AR3" s="6">
        <f>+AR20</f>
        <v>0</v>
      </c>
      <c r="AS3" s="5"/>
      <c r="AT3" s="5"/>
      <c r="AU3" s="5"/>
      <c r="AZ3" s="4">
        <f>+AZ20</f>
        <v>0</v>
      </c>
      <c r="BG3" s="4">
        <f>+BG20</f>
        <v>0</v>
      </c>
      <c r="BM3" s="4">
        <f>+BM20</f>
        <v>0</v>
      </c>
      <c r="BU3" s="4">
        <f>+BU20</f>
        <v>0</v>
      </c>
      <c r="BV3" s="5"/>
      <c r="CA3" s="4">
        <f>+CA20</f>
        <v>0</v>
      </c>
      <c r="CC3" s="5"/>
      <c r="CD3" s="5"/>
      <c r="CE3" s="5"/>
      <c r="CF3" s="5"/>
      <c r="CG3" s="6">
        <f>+CG20</f>
        <v>0</v>
      </c>
      <c r="CH3" s="5"/>
      <c r="CI3" s="6"/>
      <c r="CJ3" s="5"/>
    </row>
    <row r="4" spans="1:88" s="4" customForma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73652.800000000003</v>
      </c>
      <c r="O4" s="3"/>
      <c r="P4" s="2"/>
      <c r="Q4" s="2"/>
      <c r="R4" s="2"/>
      <c r="S4" s="2"/>
      <c r="T4" s="2"/>
      <c r="U4" s="2">
        <v>15969.05</v>
      </c>
      <c r="V4" s="46"/>
      <c r="W4" s="2"/>
      <c r="X4" s="2"/>
      <c r="AC4" s="4">
        <v>3463.18</v>
      </c>
      <c r="AE4" s="5"/>
      <c r="AF4" s="5"/>
      <c r="AG4" s="6"/>
      <c r="AI4" s="5"/>
      <c r="AJ4" s="5"/>
      <c r="AK4" s="6">
        <f>+AK21</f>
        <v>0</v>
      </c>
      <c r="AL4" s="5"/>
      <c r="AM4" s="5"/>
      <c r="AN4" s="5"/>
      <c r="AO4" s="5"/>
      <c r="AP4" s="5"/>
      <c r="AQ4" s="5"/>
      <c r="AR4" s="6">
        <f>+AR21</f>
        <v>0</v>
      </c>
      <c r="AS4" s="5"/>
      <c r="AT4" s="5"/>
      <c r="AU4" s="5"/>
      <c r="AZ4" s="4">
        <f>+AZ21</f>
        <v>0</v>
      </c>
      <c r="BG4" s="4">
        <f>+BG21</f>
        <v>0</v>
      </c>
      <c r="BM4" s="4">
        <f>+BM21</f>
        <v>0</v>
      </c>
      <c r="BU4" s="4">
        <f>+BU21</f>
        <v>0</v>
      </c>
      <c r="BV4" s="5"/>
      <c r="CA4" s="4">
        <f>+CA21</f>
        <v>0</v>
      </c>
      <c r="CC4" s="5"/>
      <c r="CD4" s="5"/>
      <c r="CE4" s="5"/>
      <c r="CF4" s="5"/>
      <c r="CG4" s="6">
        <f>+CG21</f>
        <v>0</v>
      </c>
      <c r="CH4" s="5"/>
      <c r="CI4" s="6"/>
      <c r="CJ4" s="5"/>
    </row>
    <row r="5" spans="1:88" s="4" customFormat="1">
      <c r="A5" s="7"/>
      <c r="B5" s="7" t="s">
        <v>0</v>
      </c>
      <c r="C5" s="8" t="s">
        <v>1</v>
      </c>
      <c r="D5" s="9" t="s">
        <v>2</v>
      </c>
      <c r="E5" s="9"/>
      <c r="F5" s="9"/>
      <c r="G5" s="9"/>
      <c r="H5" s="9"/>
      <c r="I5" s="9"/>
      <c r="J5" s="9" t="s">
        <v>3</v>
      </c>
      <c r="K5" s="9"/>
      <c r="L5" s="9"/>
      <c r="M5" s="9"/>
      <c r="N5" s="9"/>
      <c r="O5" s="9"/>
      <c r="P5" s="9"/>
      <c r="Q5" s="9" t="s">
        <v>4</v>
      </c>
      <c r="R5" s="9"/>
      <c r="S5" s="9"/>
      <c r="T5" s="9"/>
      <c r="U5" s="9"/>
      <c r="V5" s="9"/>
      <c r="W5" s="9"/>
      <c r="X5" s="10" t="s">
        <v>5</v>
      </c>
      <c r="Y5" s="11" t="s">
        <v>6</v>
      </c>
      <c r="Z5" s="11"/>
      <c r="AA5" s="11"/>
      <c r="AB5" s="11"/>
      <c r="AC5" s="11"/>
      <c r="AD5" s="11"/>
      <c r="AE5" s="11"/>
      <c r="AF5" s="12"/>
      <c r="AG5" s="11" t="s">
        <v>7</v>
      </c>
      <c r="AH5" s="11"/>
      <c r="AI5" s="11"/>
      <c r="AJ5" s="11"/>
      <c r="AK5" s="11"/>
      <c r="AL5" s="11"/>
      <c r="AM5" s="11"/>
      <c r="AN5" s="11" t="s">
        <v>8</v>
      </c>
      <c r="AO5" s="11"/>
      <c r="AP5" s="11"/>
      <c r="AQ5" s="11"/>
      <c r="AR5" s="11"/>
      <c r="AS5" s="11"/>
      <c r="AT5" s="11"/>
      <c r="AU5" s="13" t="s">
        <v>9</v>
      </c>
      <c r="AV5" s="14" t="s">
        <v>10</v>
      </c>
      <c r="AW5" s="14"/>
      <c r="AX5" s="14"/>
      <c r="AY5" s="14"/>
      <c r="AZ5" s="14"/>
      <c r="BA5" s="14"/>
      <c r="BB5" s="14"/>
      <c r="BC5" s="14" t="s">
        <v>11</v>
      </c>
      <c r="BD5" s="14"/>
      <c r="BE5" s="14"/>
      <c r="BF5" s="14"/>
      <c r="BG5" s="14"/>
      <c r="BH5" s="14"/>
      <c r="BI5" s="14" t="s">
        <v>12</v>
      </c>
      <c r="BJ5" s="14"/>
      <c r="BK5" s="14"/>
      <c r="BL5" s="14"/>
      <c r="BM5" s="14"/>
      <c r="BN5" s="14"/>
      <c r="BO5" s="15" t="s">
        <v>13</v>
      </c>
      <c r="BP5" s="14" t="s">
        <v>14</v>
      </c>
      <c r="BQ5" s="14" t="s">
        <v>15</v>
      </c>
      <c r="BR5" s="14"/>
      <c r="BS5" s="14"/>
      <c r="BT5" s="14"/>
      <c r="BU5" s="14"/>
      <c r="BV5" s="14"/>
      <c r="BW5" s="14" t="s">
        <v>16</v>
      </c>
      <c r="BX5" s="14"/>
      <c r="BY5" s="14"/>
      <c r="BZ5" s="14"/>
      <c r="CA5" s="14"/>
      <c r="CB5" s="14"/>
      <c r="CC5" s="14" t="s">
        <v>17</v>
      </c>
      <c r="CD5" s="14"/>
      <c r="CE5" s="14"/>
      <c r="CF5" s="14"/>
      <c r="CG5" s="14"/>
      <c r="CH5" s="14"/>
      <c r="CI5" s="11" t="s">
        <v>18</v>
      </c>
      <c r="CJ5" s="16" t="s">
        <v>19</v>
      </c>
    </row>
    <row r="6" spans="1:88" s="4" customFormat="1" ht="30">
      <c r="A6" s="7"/>
      <c r="B6" s="7"/>
      <c r="C6" s="17"/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8" t="s">
        <v>25</v>
      </c>
      <c r="J6" s="18" t="s">
        <v>20</v>
      </c>
      <c r="K6" s="18" t="s">
        <v>21</v>
      </c>
      <c r="L6" s="18" t="s">
        <v>22</v>
      </c>
      <c r="M6" s="18" t="s">
        <v>23</v>
      </c>
      <c r="N6" s="19" t="s">
        <v>26</v>
      </c>
      <c r="O6" s="20" t="s">
        <v>27</v>
      </c>
      <c r="P6" s="18" t="s">
        <v>25</v>
      </c>
      <c r="Q6" s="18" t="s">
        <v>20</v>
      </c>
      <c r="R6" s="18" t="s">
        <v>21</v>
      </c>
      <c r="S6" s="18" t="s">
        <v>22</v>
      </c>
      <c r="T6" s="18" t="s">
        <v>23</v>
      </c>
      <c r="U6" s="19" t="s">
        <v>28</v>
      </c>
      <c r="V6" s="47" t="s">
        <v>29</v>
      </c>
      <c r="W6" s="18" t="s">
        <v>25</v>
      </c>
      <c r="X6" s="21"/>
      <c r="Y6" s="22" t="s">
        <v>20</v>
      </c>
      <c r="Z6" s="22" t="s">
        <v>21</v>
      </c>
      <c r="AA6" s="22" t="s">
        <v>30</v>
      </c>
      <c r="AB6" s="22" t="s">
        <v>23</v>
      </c>
      <c r="AC6" s="23" t="s">
        <v>26</v>
      </c>
      <c r="AD6" s="23" t="s">
        <v>31</v>
      </c>
      <c r="AE6" s="24" t="s">
        <v>25</v>
      </c>
      <c r="AF6" s="24"/>
      <c r="AG6" s="22" t="s">
        <v>20</v>
      </c>
      <c r="AH6" s="22" t="s">
        <v>21</v>
      </c>
      <c r="AI6" s="22" t="s">
        <v>30</v>
      </c>
      <c r="AJ6" s="22" t="s">
        <v>23</v>
      </c>
      <c r="AK6" s="22" t="s">
        <v>26</v>
      </c>
      <c r="AL6" s="22" t="s">
        <v>31</v>
      </c>
      <c r="AM6" s="24" t="s">
        <v>25</v>
      </c>
      <c r="AN6" s="22" t="s">
        <v>20</v>
      </c>
      <c r="AO6" s="22" t="s">
        <v>21</v>
      </c>
      <c r="AP6" s="22" t="s">
        <v>30</v>
      </c>
      <c r="AQ6" s="22" t="s">
        <v>23</v>
      </c>
      <c r="AR6" s="22" t="s">
        <v>26</v>
      </c>
      <c r="AS6" s="22" t="s">
        <v>31</v>
      </c>
      <c r="AT6" s="24" t="s">
        <v>25</v>
      </c>
      <c r="AU6" s="25"/>
      <c r="AV6" s="22" t="s">
        <v>20</v>
      </c>
      <c r="AW6" s="22" t="s">
        <v>21</v>
      </c>
      <c r="AX6" s="22" t="s">
        <v>30</v>
      </c>
      <c r="AY6" s="22" t="s">
        <v>23</v>
      </c>
      <c r="AZ6" s="22" t="s">
        <v>26</v>
      </c>
      <c r="BA6" s="22" t="s">
        <v>31</v>
      </c>
      <c r="BB6" s="22" t="s">
        <v>25</v>
      </c>
      <c r="BC6" s="22" t="s">
        <v>20</v>
      </c>
      <c r="BD6" s="22" t="s">
        <v>21</v>
      </c>
      <c r="BE6" s="22" t="s">
        <v>30</v>
      </c>
      <c r="BF6" s="22" t="s">
        <v>23</v>
      </c>
      <c r="BG6" s="22" t="s">
        <v>26</v>
      </c>
      <c r="BH6" s="22" t="s">
        <v>25</v>
      </c>
      <c r="BI6" s="22" t="s">
        <v>20</v>
      </c>
      <c r="BJ6" s="22" t="s">
        <v>21</v>
      </c>
      <c r="BK6" s="22" t="s">
        <v>30</v>
      </c>
      <c r="BL6" s="22" t="s">
        <v>23</v>
      </c>
      <c r="BM6" s="22" t="s">
        <v>26</v>
      </c>
      <c r="BN6" s="22" t="s">
        <v>25</v>
      </c>
      <c r="BO6" s="26"/>
      <c r="BP6" s="14"/>
      <c r="BQ6" s="22" t="s">
        <v>20</v>
      </c>
      <c r="BR6" s="22" t="s">
        <v>21</v>
      </c>
      <c r="BS6" s="22" t="s">
        <v>30</v>
      </c>
      <c r="BT6" s="22" t="s">
        <v>23</v>
      </c>
      <c r="BU6" s="23" t="s">
        <v>26</v>
      </c>
      <c r="BV6" s="22" t="s">
        <v>25</v>
      </c>
      <c r="BW6" s="22" t="s">
        <v>20</v>
      </c>
      <c r="BX6" s="22" t="s">
        <v>21</v>
      </c>
      <c r="BY6" s="22" t="s">
        <v>30</v>
      </c>
      <c r="BZ6" s="22" t="s">
        <v>23</v>
      </c>
      <c r="CA6" s="23" t="s">
        <v>26</v>
      </c>
      <c r="CB6" s="22" t="s">
        <v>25</v>
      </c>
      <c r="CC6" s="22" t="s">
        <v>20</v>
      </c>
      <c r="CD6" s="22" t="s">
        <v>21</v>
      </c>
      <c r="CE6" s="22" t="s">
        <v>30</v>
      </c>
      <c r="CF6" s="22" t="s">
        <v>23</v>
      </c>
      <c r="CG6" s="23" t="s">
        <v>26</v>
      </c>
      <c r="CH6" s="22" t="s">
        <v>25</v>
      </c>
      <c r="CI6" s="11"/>
      <c r="CJ6" s="16"/>
    </row>
    <row r="7" spans="1:88" s="4" customFormat="1">
      <c r="A7" s="27" t="s">
        <v>32</v>
      </c>
      <c r="B7" s="27" t="s">
        <v>33</v>
      </c>
      <c r="C7" s="28"/>
      <c r="D7" s="28">
        <v>3537019.4</v>
      </c>
      <c r="E7" s="28">
        <v>0</v>
      </c>
      <c r="F7" s="28">
        <v>0</v>
      </c>
      <c r="G7" s="28">
        <v>182991.11</v>
      </c>
      <c r="H7" s="28"/>
      <c r="I7" s="28">
        <f>+D7+E7+F7+G7+H7</f>
        <v>3720010.51</v>
      </c>
      <c r="J7" s="28">
        <v>3482722.27</v>
      </c>
      <c r="K7" s="28">
        <v>0</v>
      </c>
      <c r="L7" s="28">
        <v>0</v>
      </c>
      <c r="M7" s="28">
        <v>180182.01</v>
      </c>
      <c r="N7" s="28">
        <v>55164.88</v>
      </c>
      <c r="O7" s="29"/>
      <c r="P7" s="28">
        <f>+J7+K7+L7+M7+N7+O7</f>
        <v>3718069.16</v>
      </c>
      <c r="Q7" s="28">
        <v>3493253.88</v>
      </c>
      <c r="R7" s="28">
        <v>0</v>
      </c>
      <c r="S7" s="28">
        <v>0</v>
      </c>
      <c r="T7" s="28">
        <v>180726.87</v>
      </c>
      <c r="U7" s="28">
        <v>55164.88</v>
      </c>
      <c r="V7" s="31"/>
      <c r="W7" s="28">
        <f>+Q7+R7+S7+T7+U7+V7</f>
        <v>3729145.63</v>
      </c>
      <c r="X7" s="28">
        <f>+C7+I7+P7+W7</f>
        <v>11167225.300000001</v>
      </c>
      <c r="Y7" s="22">
        <v>3493253.8800000004</v>
      </c>
      <c r="Z7" s="22">
        <v>0</v>
      </c>
      <c r="AA7" s="22">
        <v>0</v>
      </c>
      <c r="AB7" s="22">
        <v>183882.93</v>
      </c>
      <c r="AC7" s="22">
        <v>55164.88</v>
      </c>
      <c r="AD7" s="22">
        <v>0</v>
      </c>
      <c r="AE7" s="30">
        <f t="shared" ref="AE7:AE70" si="0">+Y7+Z7+AA7+AB7+AC7+AD7</f>
        <v>3732301.6900000004</v>
      </c>
      <c r="AF7" s="30">
        <f t="shared" ref="AF7:AF70" si="1">+C7+I7+P7+W7+AE7</f>
        <v>14899526.990000002</v>
      </c>
      <c r="AG7" s="22">
        <v>3493253.8800000004</v>
      </c>
      <c r="AH7" s="22">
        <v>0</v>
      </c>
      <c r="AI7" s="22">
        <v>0</v>
      </c>
      <c r="AJ7" s="22">
        <v>183882.93</v>
      </c>
      <c r="AK7" s="22">
        <v>55164.88</v>
      </c>
      <c r="AL7" s="22">
        <v>0</v>
      </c>
      <c r="AM7" s="30">
        <f>+AG7+AH7+AI7+AJ7+AK7+AL7</f>
        <v>3732301.6900000004</v>
      </c>
      <c r="AN7" s="22">
        <v>3493253.8800000004</v>
      </c>
      <c r="AO7" s="22">
        <v>0</v>
      </c>
      <c r="AP7" s="22">
        <v>0</v>
      </c>
      <c r="AQ7" s="22">
        <v>183882.93</v>
      </c>
      <c r="AR7" s="22">
        <v>55164.88</v>
      </c>
      <c r="AS7" s="22">
        <v>0</v>
      </c>
      <c r="AT7" s="30">
        <f>+AN7+AO7+AP7+AQ7+AR7+AS7</f>
        <v>3732301.6900000004</v>
      </c>
      <c r="AU7" s="30">
        <f>+AE7+AM7+AT7</f>
        <v>11196905.07</v>
      </c>
      <c r="AV7" s="22">
        <v>3493253.8800000004</v>
      </c>
      <c r="AW7" s="22">
        <v>0</v>
      </c>
      <c r="AX7" s="22">
        <v>0</v>
      </c>
      <c r="AY7" s="22">
        <v>183882.93</v>
      </c>
      <c r="AZ7" s="22">
        <v>55164.88</v>
      </c>
      <c r="BA7" s="22">
        <v>0</v>
      </c>
      <c r="BB7" s="22">
        <f>+AV7+AW7+AX7+AY7+AZ7+BA7</f>
        <v>3732301.6900000004</v>
      </c>
      <c r="BC7" s="22">
        <v>3493253.8800000004</v>
      </c>
      <c r="BD7" s="22">
        <v>0</v>
      </c>
      <c r="BE7" s="22">
        <v>0</v>
      </c>
      <c r="BF7" s="22">
        <v>183882.93</v>
      </c>
      <c r="BG7" s="22">
        <v>55164.88</v>
      </c>
      <c r="BH7" s="22">
        <f>+BC7+BD7+BE7+BF7+BG7</f>
        <v>3732301.6900000004</v>
      </c>
      <c r="BI7" s="22">
        <v>3493253.8800000004</v>
      </c>
      <c r="BJ7" s="22">
        <v>0</v>
      </c>
      <c r="BK7" s="22">
        <v>0</v>
      </c>
      <c r="BL7" s="22">
        <v>183882.93</v>
      </c>
      <c r="BM7" s="22">
        <v>55164.88</v>
      </c>
      <c r="BN7" s="22">
        <f>+BI7+BJ7+BK7+BL7+BM7</f>
        <v>3732301.6900000004</v>
      </c>
      <c r="BO7" s="22">
        <f>+BB7+BH7+BN7</f>
        <v>11196905.07</v>
      </c>
      <c r="BP7" s="22">
        <f t="shared" ref="BP7:BP70" si="2">+C7+I7+P7+W7+AE7+AM7+AT7+BB7+BH7+BN7</f>
        <v>33561035.440000005</v>
      </c>
      <c r="BQ7" s="22">
        <v>813864.51</v>
      </c>
      <c r="BR7" s="22">
        <v>0</v>
      </c>
      <c r="BS7" s="22">
        <v>0</v>
      </c>
      <c r="BT7" s="22">
        <v>45970.73</v>
      </c>
      <c r="BU7" s="22">
        <v>13791.22</v>
      </c>
      <c r="BV7" s="30">
        <f>+BQ7+BR7+BS7+BT7+BU7</f>
        <v>873626.46</v>
      </c>
      <c r="BW7" s="22">
        <v>555595.91999999993</v>
      </c>
      <c r="BX7" s="22">
        <v>0</v>
      </c>
      <c r="BY7" s="22">
        <v>0</v>
      </c>
      <c r="BZ7" s="22">
        <v>31382.560000000005</v>
      </c>
      <c r="CA7" s="22">
        <v>9414.7699999999968</v>
      </c>
      <c r="CB7" s="22">
        <f>+BW7+BX7+BY7+BZ7+CA7</f>
        <v>596393.25</v>
      </c>
      <c r="CC7" s="22">
        <v>423209.54</v>
      </c>
      <c r="CD7" s="22">
        <v>0</v>
      </c>
      <c r="CE7" s="22">
        <v>0</v>
      </c>
      <c r="CF7" s="22">
        <v>23904.78</v>
      </c>
      <c r="CG7" s="22">
        <v>7171.43</v>
      </c>
      <c r="CH7" s="30">
        <f>+CC7+CD7+CE7+CF7+CG7</f>
        <v>454285.74999999994</v>
      </c>
      <c r="CI7" s="30">
        <f>+BV7+CB7+CH7</f>
        <v>1924305.46</v>
      </c>
      <c r="CJ7" s="30">
        <f>+X7+AU7+BO7+CI7</f>
        <v>35485340.899999999</v>
      </c>
    </row>
    <row r="8" spans="1:88" s="4" customFormat="1">
      <c r="A8" s="27" t="s">
        <v>34</v>
      </c>
      <c r="B8" s="27" t="s">
        <v>35</v>
      </c>
      <c r="C8" s="28"/>
      <c r="D8" s="28">
        <f>4072656.01+959970.1</f>
        <v>5032626.1099999994</v>
      </c>
      <c r="E8" s="28">
        <v>0</v>
      </c>
      <c r="F8" s="28">
        <v>0</v>
      </c>
      <c r="G8" s="28">
        <v>331752.75</v>
      </c>
      <c r="H8" s="28"/>
      <c r="I8" s="28">
        <f t="shared" ref="I8:I71" si="3">+D8+E8+F8+G8+H8</f>
        <v>5364378.8599999994</v>
      </c>
      <c r="J8" s="28">
        <f>4010136.27+959970.1</f>
        <v>4970106.37</v>
      </c>
      <c r="K8" s="28">
        <v>0</v>
      </c>
      <c r="L8" s="28">
        <v>0</v>
      </c>
      <c r="M8" s="28">
        <v>326659.98</v>
      </c>
      <c r="N8" s="28">
        <v>0</v>
      </c>
      <c r="O8" s="29"/>
      <c r="P8" s="28">
        <f t="shared" ref="P8:P71" si="4">+J8+K8+L8+M8+N8+O8</f>
        <v>5296766.3499999996</v>
      </c>
      <c r="Q8" s="28">
        <f>4022262.75+959970.1</f>
        <v>4982232.8499999996</v>
      </c>
      <c r="R8" s="28">
        <v>0</v>
      </c>
      <c r="S8" s="28">
        <v>0</v>
      </c>
      <c r="T8" s="28">
        <v>327647.78999999998</v>
      </c>
      <c r="U8" s="28">
        <v>0</v>
      </c>
      <c r="V8" s="31"/>
      <c r="W8" s="28">
        <f t="shared" ref="W8:W71" si="5">+Q8+R8+S8+T8+U8+V8</f>
        <v>5309880.6399999997</v>
      </c>
      <c r="X8" s="28">
        <f t="shared" ref="X8:X71" si="6">+C8+I8+P8+W8</f>
        <v>15971025.849999998</v>
      </c>
      <c r="Y8" s="22">
        <v>4963270.0589147294</v>
      </c>
      <c r="Z8" s="22">
        <v>0</v>
      </c>
      <c r="AA8" s="22">
        <v>0</v>
      </c>
      <c r="AB8" s="22">
        <v>333369.55</v>
      </c>
      <c r="AC8" s="22">
        <v>0</v>
      </c>
      <c r="AD8" s="22">
        <v>0</v>
      </c>
      <c r="AE8" s="30">
        <f t="shared" si="0"/>
        <v>5296639.6089147292</v>
      </c>
      <c r="AF8" s="30">
        <f t="shared" si="1"/>
        <v>21267665.458914727</v>
      </c>
      <c r="AG8" s="22">
        <v>4963270.0589147294</v>
      </c>
      <c r="AH8" s="22">
        <v>0</v>
      </c>
      <c r="AI8" s="22">
        <v>0</v>
      </c>
      <c r="AJ8" s="22">
        <v>333369.55</v>
      </c>
      <c r="AK8" s="22">
        <v>0</v>
      </c>
      <c r="AL8" s="22">
        <v>0</v>
      </c>
      <c r="AM8" s="30">
        <f t="shared" ref="AM8:AM71" si="7">+AG8+AH8+AI8+AJ8+AK8+AL8</f>
        <v>5296639.6089147292</v>
      </c>
      <c r="AN8" s="22">
        <v>4963270.0589147294</v>
      </c>
      <c r="AO8" s="22">
        <v>0</v>
      </c>
      <c r="AP8" s="22">
        <v>0</v>
      </c>
      <c r="AQ8" s="22">
        <v>333369.55</v>
      </c>
      <c r="AR8" s="22">
        <v>0</v>
      </c>
      <c r="AS8" s="22">
        <v>0</v>
      </c>
      <c r="AT8" s="30">
        <f t="shared" ref="AT8:AT71" si="8">+AN8+AO8+AP8+AQ8+AR8+AS8</f>
        <v>5296639.6089147292</v>
      </c>
      <c r="AU8" s="30">
        <f t="shared" ref="AU8:AU71" si="9">+AE8+AM8+AT8</f>
        <v>15889918.826744188</v>
      </c>
      <c r="AV8" s="22">
        <v>4963270.0589147294</v>
      </c>
      <c r="AW8" s="22">
        <v>0</v>
      </c>
      <c r="AX8" s="22">
        <v>0</v>
      </c>
      <c r="AY8" s="22">
        <v>333369.55</v>
      </c>
      <c r="AZ8" s="22">
        <v>0</v>
      </c>
      <c r="BA8" s="22">
        <v>0</v>
      </c>
      <c r="BB8" s="22">
        <f t="shared" ref="BB8:BB71" si="10">+AV8+AW8+AX8+AY8+AZ8+BA8</f>
        <v>5296639.6089147292</v>
      </c>
      <c r="BC8" s="22">
        <v>4963270.0589147294</v>
      </c>
      <c r="BD8" s="22">
        <v>0</v>
      </c>
      <c r="BE8" s="22">
        <v>0</v>
      </c>
      <c r="BF8" s="22">
        <v>333369.55</v>
      </c>
      <c r="BG8" s="22">
        <v>0</v>
      </c>
      <c r="BH8" s="22">
        <f t="shared" ref="BH8:BH71" si="11">+BC8+BD8+BE8+BF8+BG8</f>
        <v>5296639.6089147292</v>
      </c>
      <c r="BI8" s="22">
        <v>4963270.0589147294</v>
      </c>
      <c r="BJ8" s="22">
        <v>0</v>
      </c>
      <c r="BK8" s="22">
        <v>0</v>
      </c>
      <c r="BL8" s="22">
        <v>333369.55</v>
      </c>
      <c r="BM8" s="22">
        <v>0</v>
      </c>
      <c r="BN8" s="22">
        <f t="shared" ref="BN8:BN71" si="12">+BI8+BJ8+BK8+BL8+BM8</f>
        <v>5296639.6089147292</v>
      </c>
      <c r="BO8" s="22">
        <f t="shared" ref="BO8:BO71" si="13">+BB8+BH8+BN8</f>
        <v>15889918.826744188</v>
      </c>
      <c r="BP8" s="22">
        <f t="shared" si="2"/>
        <v>47750863.503488377</v>
      </c>
      <c r="BQ8" s="22">
        <v>1005062.19</v>
      </c>
      <c r="BR8" s="22">
        <v>0</v>
      </c>
      <c r="BS8" s="22">
        <v>0</v>
      </c>
      <c r="BT8" s="22">
        <v>83342.39</v>
      </c>
      <c r="BU8" s="22">
        <v>0</v>
      </c>
      <c r="BV8" s="30">
        <f t="shared" ref="BV8:BV71" si="14">+BQ8+BR8+BS8+BT8+BU8</f>
        <v>1088404.5799999998</v>
      </c>
      <c r="BW8" s="22">
        <v>686119.67000000016</v>
      </c>
      <c r="BX8" s="22">
        <v>0</v>
      </c>
      <c r="BY8" s="22">
        <v>0</v>
      </c>
      <c r="BZ8" s="22">
        <v>56894.839999999989</v>
      </c>
      <c r="CA8" s="22">
        <v>0</v>
      </c>
      <c r="CB8" s="22">
        <f t="shared" ref="CB8:CB71" si="15">+BW8+BX8+BY8+BZ8+CA8</f>
        <v>743014.51000000013</v>
      </c>
      <c r="CC8" s="22">
        <v>522632.34</v>
      </c>
      <c r="CD8" s="22">
        <v>0</v>
      </c>
      <c r="CE8" s="22">
        <v>0</v>
      </c>
      <c r="CF8" s="22">
        <v>43338.04</v>
      </c>
      <c r="CG8" s="22">
        <v>0</v>
      </c>
      <c r="CH8" s="30">
        <f t="shared" ref="CH8:CH71" si="16">+CC8+CD8+CE8+CF8+CG8</f>
        <v>565970.38</v>
      </c>
      <c r="CI8" s="30">
        <f t="shared" ref="CI8:CI71" si="17">+BV8+CB8+CH8</f>
        <v>2397389.4699999997</v>
      </c>
      <c r="CJ8" s="30">
        <f t="shared" ref="CJ8:CJ71" si="18">+X8+AU8+BO8+CI8</f>
        <v>50148252.973488376</v>
      </c>
    </row>
    <row r="9" spans="1:88" s="4" customFormat="1">
      <c r="A9" s="27" t="s">
        <v>36</v>
      </c>
      <c r="B9" s="27" t="s">
        <v>37</v>
      </c>
      <c r="C9" s="28"/>
      <c r="D9" s="28">
        <f>204464.47+125927.67</f>
        <v>330392.14</v>
      </c>
      <c r="E9" s="28">
        <v>0</v>
      </c>
      <c r="F9" s="28">
        <v>0</v>
      </c>
      <c r="G9" s="28">
        <v>0</v>
      </c>
      <c r="H9" s="28"/>
      <c r="I9" s="28">
        <f t="shared" si="3"/>
        <v>330392.14</v>
      </c>
      <c r="J9" s="28">
        <f>201325.72+125927.67</f>
        <v>327253.39</v>
      </c>
      <c r="K9" s="28">
        <v>0</v>
      </c>
      <c r="L9" s="28">
        <v>0</v>
      </c>
      <c r="M9" s="28">
        <v>0</v>
      </c>
      <c r="N9" s="28">
        <v>0</v>
      </c>
      <c r="O9" s="29"/>
      <c r="P9" s="28">
        <f t="shared" si="4"/>
        <v>327253.39</v>
      </c>
      <c r="Q9" s="28">
        <f>201934.52+125927.67</f>
        <v>327862.19</v>
      </c>
      <c r="R9" s="28">
        <v>0</v>
      </c>
      <c r="S9" s="28">
        <v>0</v>
      </c>
      <c r="T9" s="28">
        <v>0</v>
      </c>
      <c r="U9" s="28">
        <v>0</v>
      </c>
      <c r="V9" s="31"/>
      <c r="W9" s="28">
        <f t="shared" si="5"/>
        <v>327862.19</v>
      </c>
      <c r="X9" s="28">
        <f t="shared" si="6"/>
        <v>985507.72</v>
      </c>
      <c r="Y9" s="22">
        <v>337824.69627808989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30">
        <f t="shared" si="0"/>
        <v>337824.69627808989</v>
      </c>
      <c r="AF9" s="30">
        <f t="shared" si="1"/>
        <v>1323332.4162780899</v>
      </c>
      <c r="AG9" s="22">
        <v>337824.69627808989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30">
        <f t="shared" si="7"/>
        <v>337824.69627808989</v>
      </c>
      <c r="AN9" s="22">
        <v>337824.69627808989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30">
        <f t="shared" si="8"/>
        <v>337824.69627808989</v>
      </c>
      <c r="AU9" s="30">
        <f t="shared" si="9"/>
        <v>1013474.0888342697</v>
      </c>
      <c r="AV9" s="22">
        <v>337824.69627808989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f t="shared" si="10"/>
        <v>337824.69627808989</v>
      </c>
      <c r="BC9" s="22">
        <v>337824.69627808989</v>
      </c>
      <c r="BD9" s="22">
        <v>0</v>
      </c>
      <c r="BE9" s="22">
        <v>0</v>
      </c>
      <c r="BF9" s="22">
        <v>0</v>
      </c>
      <c r="BG9" s="22">
        <v>0</v>
      </c>
      <c r="BH9" s="22">
        <f t="shared" si="11"/>
        <v>337824.69627808989</v>
      </c>
      <c r="BI9" s="22">
        <v>337824.69627808989</v>
      </c>
      <c r="BJ9" s="22">
        <v>0</v>
      </c>
      <c r="BK9" s="22">
        <v>0</v>
      </c>
      <c r="BL9" s="22">
        <v>0</v>
      </c>
      <c r="BM9" s="22">
        <v>0</v>
      </c>
      <c r="BN9" s="22">
        <f t="shared" si="12"/>
        <v>337824.69627808989</v>
      </c>
      <c r="BO9" s="22">
        <f t="shared" si="13"/>
        <v>1013474.0888342697</v>
      </c>
      <c r="BP9" s="22">
        <f t="shared" si="2"/>
        <v>3012455.8976685386</v>
      </c>
      <c r="BQ9" s="22">
        <v>52362.83</v>
      </c>
      <c r="BR9" s="22">
        <v>0</v>
      </c>
      <c r="BS9" s="22">
        <v>0</v>
      </c>
      <c r="BT9" s="22">
        <v>0</v>
      </c>
      <c r="BU9" s="22">
        <v>0</v>
      </c>
      <c r="BV9" s="30">
        <f t="shared" si="14"/>
        <v>52362.83</v>
      </c>
      <c r="BW9" s="22">
        <v>35746.210000000006</v>
      </c>
      <c r="BX9" s="22">
        <v>0</v>
      </c>
      <c r="BY9" s="22">
        <v>0</v>
      </c>
      <c r="BZ9" s="22">
        <v>0</v>
      </c>
      <c r="CA9" s="22">
        <v>0</v>
      </c>
      <c r="CB9" s="22">
        <f t="shared" si="15"/>
        <v>35746.210000000006</v>
      </c>
      <c r="CC9" s="22">
        <v>27228.67</v>
      </c>
      <c r="CD9" s="22">
        <v>0</v>
      </c>
      <c r="CE9" s="22">
        <v>0</v>
      </c>
      <c r="CF9" s="22">
        <v>0</v>
      </c>
      <c r="CG9" s="22">
        <v>0</v>
      </c>
      <c r="CH9" s="30">
        <f t="shared" si="16"/>
        <v>27228.67</v>
      </c>
      <c r="CI9" s="30">
        <f t="shared" si="17"/>
        <v>115337.71</v>
      </c>
      <c r="CJ9" s="30">
        <f t="shared" si="18"/>
        <v>3127793.6076685395</v>
      </c>
    </row>
    <row r="10" spans="1:88" s="4" customFormat="1">
      <c r="A10" s="27" t="s">
        <v>38</v>
      </c>
      <c r="B10" s="27" t="s">
        <v>39</v>
      </c>
      <c r="C10" s="28">
        <f>14733156.97-9743469.93</f>
        <v>4989687.040000001</v>
      </c>
      <c r="D10" s="28">
        <f>8201752.43+1454421.83</f>
        <v>9656174.2599999998</v>
      </c>
      <c r="E10" s="28">
        <v>0</v>
      </c>
      <c r="F10" s="28">
        <v>0</v>
      </c>
      <c r="G10" s="28">
        <v>78585.7</v>
      </c>
      <c r="H10" s="28">
        <v>1491080.83</v>
      </c>
      <c r="I10" s="28">
        <f t="shared" si="3"/>
        <v>11225840.789999999</v>
      </c>
      <c r="J10" s="28">
        <f>8075846.52+1454421.83</f>
        <v>9530268.3499999996</v>
      </c>
      <c r="K10" s="28">
        <v>0</v>
      </c>
      <c r="L10" s="28">
        <v>0</v>
      </c>
      <c r="M10" s="28">
        <v>77379.33</v>
      </c>
      <c r="N10" s="28">
        <v>0</v>
      </c>
      <c r="O10" s="29">
        <v>1897490.22</v>
      </c>
      <c r="P10" s="28">
        <f t="shared" si="4"/>
        <v>11505137.9</v>
      </c>
      <c r="Q10" s="28">
        <f>8100267.55+1454421.83</f>
        <v>9554689.379999999</v>
      </c>
      <c r="R10" s="28">
        <v>0</v>
      </c>
      <c r="S10" s="28">
        <v>0</v>
      </c>
      <c r="T10" s="28">
        <v>77613.320000000007</v>
      </c>
      <c r="U10" s="28">
        <v>0</v>
      </c>
      <c r="V10" s="31">
        <v>3077705.1</v>
      </c>
      <c r="W10" s="28">
        <f t="shared" si="5"/>
        <v>12710007.799999999</v>
      </c>
      <c r="X10" s="28">
        <f t="shared" si="6"/>
        <v>40430673.530000001</v>
      </c>
      <c r="Y10" s="22">
        <v>10582654.529999999</v>
      </c>
      <c r="Z10" s="22">
        <v>0</v>
      </c>
      <c r="AA10" s="22">
        <v>0</v>
      </c>
      <c r="AB10" s="22">
        <v>78968.69</v>
      </c>
      <c r="AC10" s="22">
        <v>0</v>
      </c>
      <c r="AD10" s="22">
        <v>0</v>
      </c>
      <c r="AE10" s="30">
        <f t="shared" si="0"/>
        <v>10661623.219999999</v>
      </c>
      <c r="AF10" s="30">
        <f t="shared" si="1"/>
        <v>51092296.75</v>
      </c>
      <c r="AG10" s="22">
        <v>10582654.529999999</v>
      </c>
      <c r="AH10" s="22">
        <v>0</v>
      </c>
      <c r="AI10" s="22">
        <v>0</v>
      </c>
      <c r="AJ10" s="22">
        <v>78968.69</v>
      </c>
      <c r="AK10" s="22">
        <v>0</v>
      </c>
      <c r="AL10" s="22">
        <v>0</v>
      </c>
      <c r="AM10" s="30">
        <f t="shared" si="7"/>
        <v>10661623.219999999</v>
      </c>
      <c r="AN10" s="22">
        <v>10582654.529999999</v>
      </c>
      <c r="AO10" s="22">
        <v>0</v>
      </c>
      <c r="AP10" s="22">
        <v>0</v>
      </c>
      <c r="AQ10" s="22">
        <v>78968.69</v>
      </c>
      <c r="AR10" s="22">
        <v>0</v>
      </c>
      <c r="AS10" s="22">
        <v>0</v>
      </c>
      <c r="AT10" s="30">
        <f t="shared" si="8"/>
        <v>10661623.219999999</v>
      </c>
      <c r="AU10" s="30">
        <f t="shared" si="9"/>
        <v>31984869.659999996</v>
      </c>
      <c r="AV10" s="22">
        <v>10582654.529999999</v>
      </c>
      <c r="AW10" s="22">
        <v>0</v>
      </c>
      <c r="AX10" s="22">
        <v>0</v>
      </c>
      <c r="AY10" s="22">
        <v>78968.69</v>
      </c>
      <c r="AZ10" s="22">
        <v>0</v>
      </c>
      <c r="BA10" s="22">
        <v>0</v>
      </c>
      <c r="BB10" s="22">
        <f t="shared" si="10"/>
        <v>10661623.219999999</v>
      </c>
      <c r="BC10" s="22">
        <v>10582654.529999999</v>
      </c>
      <c r="BD10" s="22">
        <v>0</v>
      </c>
      <c r="BE10" s="22">
        <v>0</v>
      </c>
      <c r="BF10" s="22">
        <v>78968.69</v>
      </c>
      <c r="BG10" s="22">
        <v>0</v>
      </c>
      <c r="BH10" s="22">
        <f t="shared" si="11"/>
        <v>10661623.219999999</v>
      </c>
      <c r="BI10" s="22">
        <v>10582654.529999999</v>
      </c>
      <c r="BJ10" s="22">
        <v>0</v>
      </c>
      <c r="BK10" s="22">
        <v>0</v>
      </c>
      <c r="BL10" s="22">
        <v>78968.69</v>
      </c>
      <c r="BM10" s="22">
        <v>0</v>
      </c>
      <c r="BN10" s="22">
        <f t="shared" si="12"/>
        <v>10661623.219999999</v>
      </c>
      <c r="BO10" s="22">
        <f t="shared" si="13"/>
        <v>31984869.659999996</v>
      </c>
      <c r="BP10" s="22">
        <f t="shared" si="2"/>
        <v>104400412.84999999</v>
      </c>
      <c r="BQ10" s="22">
        <v>2345638.1</v>
      </c>
      <c r="BR10" s="22">
        <v>0</v>
      </c>
      <c r="BS10" s="22">
        <v>0</v>
      </c>
      <c r="BT10" s="22">
        <v>19742.169999999998</v>
      </c>
      <c r="BU10" s="22">
        <v>0</v>
      </c>
      <c r="BV10" s="30">
        <f t="shared" si="14"/>
        <v>2365380.27</v>
      </c>
      <c r="BW10" s="22">
        <v>1601282.4699999997</v>
      </c>
      <c r="BX10" s="22">
        <v>0</v>
      </c>
      <c r="BY10" s="22">
        <v>0</v>
      </c>
      <c r="BZ10" s="22">
        <v>13477.270000000004</v>
      </c>
      <c r="CA10" s="22">
        <v>0</v>
      </c>
      <c r="CB10" s="22">
        <f t="shared" si="15"/>
        <v>1614759.7399999998</v>
      </c>
      <c r="CC10" s="22">
        <v>1219731.81</v>
      </c>
      <c r="CD10" s="22">
        <v>0</v>
      </c>
      <c r="CE10" s="22">
        <v>0</v>
      </c>
      <c r="CF10" s="22">
        <v>10265.93</v>
      </c>
      <c r="CG10" s="22">
        <v>0</v>
      </c>
      <c r="CH10" s="30">
        <f t="shared" si="16"/>
        <v>1229997.74</v>
      </c>
      <c r="CI10" s="30">
        <f t="shared" si="17"/>
        <v>5210137.75</v>
      </c>
      <c r="CJ10" s="30">
        <f t="shared" si="18"/>
        <v>109610550.59999999</v>
      </c>
    </row>
    <row r="11" spans="1:88" s="4" customFormat="1">
      <c r="A11" s="27" t="s">
        <v>40</v>
      </c>
      <c r="B11" s="27" t="s">
        <v>41</v>
      </c>
      <c r="C11" s="28"/>
      <c r="D11" s="28">
        <f>1984284.97+498488.85</f>
        <v>2482773.8199999998</v>
      </c>
      <c r="E11" s="28">
        <v>0</v>
      </c>
      <c r="F11" s="28">
        <v>0</v>
      </c>
      <c r="G11" s="28">
        <v>100833.33</v>
      </c>
      <c r="H11" s="28"/>
      <c r="I11" s="28">
        <f t="shared" si="3"/>
        <v>2583607.15</v>
      </c>
      <c r="J11" s="28">
        <f>1953824.01+498488.85</f>
        <v>2452312.86</v>
      </c>
      <c r="K11" s="28">
        <v>0</v>
      </c>
      <c r="L11" s="28">
        <v>0</v>
      </c>
      <c r="M11" s="28">
        <v>99285.43</v>
      </c>
      <c r="N11" s="28">
        <v>30397.42</v>
      </c>
      <c r="O11" s="29"/>
      <c r="P11" s="28">
        <f t="shared" si="4"/>
        <v>2581995.71</v>
      </c>
      <c r="Q11" s="28">
        <f>1959732.3+498488.85</f>
        <v>2458221.15</v>
      </c>
      <c r="R11" s="28">
        <v>0</v>
      </c>
      <c r="S11" s="28">
        <v>0</v>
      </c>
      <c r="T11" s="28">
        <v>99585.66</v>
      </c>
      <c r="U11" s="28">
        <v>30397.42</v>
      </c>
      <c r="V11" s="31"/>
      <c r="W11" s="28">
        <f t="shared" si="5"/>
        <v>2588204.23</v>
      </c>
      <c r="X11" s="28">
        <f t="shared" si="6"/>
        <v>7753807.0899999999</v>
      </c>
      <c r="Y11" s="22">
        <v>2457966.7874999996</v>
      </c>
      <c r="Z11" s="22">
        <v>0</v>
      </c>
      <c r="AA11" s="22">
        <v>0</v>
      </c>
      <c r="AB11" s="22">
        <v>101324.74</v>
      </c>
      <c r="AC11" s="22">
        <v>30397.42</v>
      </c>
      <c r="AD11" s="22">
        <v>0</v>
      </c>
      <c r="AE11" s="30">
        <f t="shared" si="0"/>
        <v>2589688.9474999998</v>
      </c>
      <c r="AF11" s="30">
        <f t="shared" si="1"/>
        <v>10343496.0375</v>
      </c>
      <c r="AG11" s="22">
        <v>2457966.7874999996</v>
      </c>
      <c r="AH11" s="22">
        <v>0</v>
      </c>
      <c r="AI11" s="22">
        <v>0</v>
      </c>
      <c r="AJ11" s="22">
        <v>101324.74</v>
      </c>
      <c r="AK11" s="22">
        <v>30397.42</v>
      </c>
      <c r="AL11" s="22">
        <v>29960</v>
      </c>
      <c r="AM11" s="30">
        <f t="shared" si="7"/>
        <v>2619648.9474999998</v>
      </c>
      <c r="AN11" s="22">
        <v>2457966.7874999996</v>
      </c>
      <c r="AO11" s="22">
        <v>0</v>
      </c>
      <c r="AP11" s="22">
        <v>0</v>
      </c>
      <c r="AQ11" s="22">
        <v>101324.74</v>
      </c>
      <c r="AR11" s="22">
        <v>30397.42</v>
      </c>
      <c r="AS11" s="22">
        <v>29400</v>
      </c>
      <c r="AT11" s="30">
        <f t="shared" si="8"/>
        <v>2619088.9474999998</v>
      </c>
      <c r="AU11" s="30">
        <f t="shared" si="9"/>
        <v>7828426.8424999993</v>
      </c>
      <c r="AV11" s="22">
        <v>2457966.7874999996</v>
      </c>
      <c r="AW11" s="22">
        <v>0</v>
      </c>
      <c r="AX11" s="22">
        <v>0</v>
      </c>
      <c r="AY11" s="22">
        <v>101324.74</v>
      </c>
      <c r="AZ11" s="22">
        <v>30397.42</v>
      </c>
      <c r="BA11" s="22">
        <v>15120</v>
      </c>
      <c r="BB11" s="22">
        <f t="shared" si="10"/>
        <v>2604808.9474999998</v>
      </c>
      <c r="BC11" s="22">
        <v>2457966.7874999996</v>
      </c>
      <c r="BD11" s="22">
        <v>0</v>
      </c>
      <c r="BE11" s="22">
        <v>0</v>
      </c>
      <c r="BF11" s="22">
        <v>101324.74</v>
      </c>
      <c r="BG11" s="22">
        <v>30397.42</v>
      </c>
      <c r="BH11" s="22">
        <f t="shared" si="11"/>
        <v>2589688.9474999998</v>
      </c>
      <c r="BI11" s="22">
        <v>2457966.7874999996</v>
      </c>
      <c r="BJ11" s="22">
        <v>0</v>
      </c>
      <c r="BK11" s="22">
        <v>0</v>
      </c>
      <c r="BL11" s="22">
        <v>101324.74</v>
      </c>
      <c r="BM11" s="22">
        <v>30397.42</v>
      </c>
      <c r="BN11" s="22">
        <f t="shared" si="12"/>
        <v>2589688.9474999998</v>
      </c>
      <c r="BO11" s="22">
        <f t="shared" si="13"/>
        <v>7784186.8424999993</v>
      </c>
      <c r="BP11" s="22">
        <f t="shared" si="2"/>
        <v>23366420.774999999</v>
      </c>
      <c r="BQ11" s="22">
        <v>579843.05000000005</v>
      </c>
      <c r="BR11" s="22">
        <v>0</v>
      </c>
      <c r="BS11" s="22">
        <v>0</v>
      </c>
      <c r="BT11" s="22">
        <v>25331.19</v>
      </c>
      <c r="BU11" s="22">
        <v>7599.36</v>
      </c>
      <c r="BV11" s="30">
        <f t="shared" si="14"/>
        <v>612773.6</v>
      </c>
      <c r="BW11" s="22">
        <v>395837.92000000004</v>
      </c>
      <c r="BX11" s="22">
        <v>0</v>
      </c>
      <c r="BY11" s="22">
        <v>0</v>
      </c>
      <c r="BZ11" s="22">
        <v>17292.68</v>
      </c>
      <c r="CA11" s="22">
        <v>5187.7999999999993</v>
      </c>
      <c r="CB11" s="22">
        <f t="shared" si="15"/>
        <v>418318.4</v>
      </c>
      <c r="CC11" s="22">
        <v>301518.38</v>
      </c>
      <c r="CD11" s="22">
        <v>0</v>
      </c>
      <c r="CE11" s="22">
        <v>0</v>
      </c>
      <c r="CF11" s="22">
        <v>13172.22</v>
      </c>
      <c r="CG11" s="22">
        <v>3951.66</v>
      </c>
      <c r="CH11" s="30">
        <f t="shared" si="16"/>
        <v>318642.25999999995</v>
      </c>
      <c r="CI11" s="30">
        <f t="shared" si="17"/>
        <v>1349734.26</v>
      </c>
      <c r="CJ11" s="30">
        <f t="shared" si="18"/>
        <v>24716155.035</v>
      </c>
    </row>
    <row r="12" spans="1:88" s="4" customFormat="1">
      <c r="A12" s="27" t="s">
        <v>42</v>
      </c>
      <c r="B12" s="27" t="s">
        <v>43</v>
      </c>
      <c r="C12" s="28"/>
      <c r="D12" s="28">
        <f>819237.54+168523.01</f>
        <v>987760.55</v>
      </c>
      <c r="E12" s="28">
        <v>0</v>
      </c>
      <c r="F12" s="28">
        <v>0</v>
      </c>
      <c r="G12" s="28">
        <v>26023.34</v>
      </c>
      <c r="H12" s="28"/>
      <c r="I12" s="28">
        <f t="shared" si="3"/>
        <v>1013783.89</v>
      </c>
      <c r="J12" s="28">
        <f>806661.35+193103.36</f>
        <v>999764.71</v>
      </c>
      <c r="K12" s="28">
        <v>0</v>
      </c>
      <c r="L12" s="28">
        <v>0</v>
      </c>
      <c r="M12" s="28">
        <v>25623.85</v>
      </c>
      <c r="N12" s="28">
        <v>0</v>
      </c>
      <c r="O12" s="29"/>
      <c r="P12" s="28">
        <f t="shared" si="4"/>
        <v>1025388.5599999999</v>
      </c>
      <c r="Q12" s="28">
        <f>809100.66+193103.36</f>
        <v>1002204.02</v>
      </c>
      <c r="R12" s="28">
        <v>0</v>
      </c>
      <c r="S12" s="28">
        <v>0</v>
      </c>
      <c r="T12" s="28">
        <v>25701.33</v>
      </c>
      <c r="U12" s="28">
        <v>0</v>
      </c>
      <c r="V12" s="31"/>
      <c r="W12" s="28">
        <f t="shared" si="5"/>
        <v>1027905.35</v>
      </c>
      <c r="X12" s="28">
        <f t="shared" si="6"/>
        <v>3067077.8</v>
      </c>
      <c r="Y12" s="22">
        <v>1093528.8083041667</v>
      </c>
      <c r="Z12" s="22">
        <v>0</v>
      </c>
      <c r="AA12" s="22">
        <v>0</v>
      </c>
      <c r="AB12" s="22">
        <v>26150.16</v>
      </c>
      <c r="AC12" s="22">
        <v>0</v>
      </c>
      <c r="AD12" s="22">
        <v>0</v>
      </c>
      <c r="AE12" s="30">
        <f t="shared" si="0"/>
        <v>1119678.9683041666</v>
      </c>
      <c r="AF12" s="30">
        <f t="shared" si="1"/>
        <v>4186756.7683041664</v>
      </c>
      <c r="AG12" s="22">
        <v>1093528.8083041667</v>
      </c>
      <c r="AH12" s="22">
        <v>0</v>
      </c>
      <c r="AI12" s="22">
        <v>0</v>
      </c>
      <c r="AJ12" s="22">
        <v>26150.16</v>
      </c>
      <c r="AK12" s="22">
        <v>0</v>
      </c>
      <c r="AL12" s="22">
        <v>0</v>
      </c>
      <c r="AM12" s="30">
        <f t="shared" si="7"/>
        <v>1119678.9683041666</v>
      </c>
      <c r="AN12" s="22">
        <v>1093528.8083041667</v>
      </c>
      <c r="AO12" s="22">
        <v>0</v>
      </c>
      <c r="AP12" s="22">
        <v>0</v>
      </c>
      <c r="AQ12" s="22">
        <v>26150.16</v>
      </c>
      <c r="AR12" s="22">
        <v>0</v>
      </c>
      <c r="AS12" s="22">
        <v>0</v>
      </c>
      <c r="AT12" s="30">
        <f t="shared" si="8"/>
        <v>1119678.9683041666</v>
      </c>
      <c r="AU12" s="30">
        <f t="shared" si="9"/>
        <v>3359036.9049124997</v>
      </c>
      <c r="AV12" s="22">
        <v>1093528.8083041667</v>
      </c>
      <c r="AW12" s="22">
        <v>0</v>
      </c>
      <c r="AX12" s="22">
        <v>0</v>
      </c>
      <c r="AY12" s="22">
        <v>26150.16</v>
      </c>
      <c r="AZ12" s="22">
        <v>0</v>
      </c>
      <c r="BA12" s="22">
        <v>0</v>
      </c>
      <c r="BB12" s="22">
        <f t="shared" si="10"/>
        <v>1119678.9683041666</v>
      </c>
      <c r="BC12" s="22">
        <v>1093528.8083041667</v>
      </c>
      <c r="BD12" s="22">
        <v>0</v>
      </c>
      <c r="BE12" s="22">
        <v>0</v>
      </c>
      <c r="BF12" s="22">
        <v>26150.16</v>
      </c>
      <c r="BG12" s="22">
        <v>0</v>
      </c>
      <c r="BH12" s="22">
        <f t="shared" si="11"/>
        <v>1119678.9683041666</v>
      </c>
      <c r="BI12" s="22">
        <v>1093528.8083041667</v>
      </c>
      <c r="BJ12" s="22">
        <v>0</v>
      </c>
      <c r="BK12" s="22">
        <v>0</v>
      </c>
      <c r="BL12" s="22">
        <v>26150.16</v>
      </c>
      <c r="BM12" s="22">
        <v>0</v>
      </c>
      <c r="BN12" s="22">
        <f t="shared" si="12"/>
        <v>1119678.9683041666</v>
      </c>
      <c r="BO12" s="22">
        <f t="shared" si="13"/>
        <v>3359036.9049124997</v>
      </c>
      <c r="BP12" s="22">
        <f t="shared" si="2"/>
        <v>9785151.6098249983</v>
      </c>
      <c r="BQ12" s="22">
        <v>260230.72</v>
      </c>
      <c r="BR12" s="22">
        <v>0</v>
      </c>
      <c r="BS12" s="22">
        <v>0</v>
      </c>
      <c r="BT12" s="22">
        <v>6537.54</v>
      </c>
      <c r="BU12" s="22">
        <v>0</v>
      </c>
      <c r="BV12" s="30">
        <f t="shared" si="14"/>
        <v>266768.26</v>
      </c>
      <c r="BW12" s="22">
        <v>177650.11999999997</v>
      </c>
      <c r="BX12" s="22">
        <v>0</v>
      </c>
      <c r="BY12" s="22"/>
      <c r="BZ12" s="22">
        <v>4462.9400000000005</v>
      </c>
      <c r="CA12" s="22">
        <v>0</v>
      </c>
      <c r="CB12" s="22">
        <f t="shared" si="15"/>
        <v>182113.05999999997</v>
      </c>
      <c r="CC12" s="22">
        <v>135319.98000000001</v>
      </c>
      <c r="CD12" s="22">
        <v>0</v>
      </c>
      <c r="CE12" s="22">
        <v>0</v>
      </c>
      <c r="CF12" s="22">
        <v>3399.52</v>
      </c>
      <c r="CG12" s="22">
        <v>0</v>
      </c>
      <c r="CH12" s="30">
        <f t="shared" si="16"/>
        <v>138719.5</v>
      </c>
      <c r="CI12" s="30">
        <f t="shared" si="17"/>
        <v>587600.81999999995</v>
      </c>
      <c r="CJ12" s="30">
        <f t="shared" si="18"/>
        <v>10372752.429825</v>
      </c>
    </row>
    <row r="13" spans="1:88" s="4" customFormat="1">
      <c r="A13" s="27" t="s">
        <v>44</v>
      </c>
      <c r="B13" s="27" t="s">
        <v>45</v>
      </c>
      <c r="C13" s="28"/>
      <c r="D13" s="28">
        <f>1481477.61+48786.23</f>
        <v>1530263.84</v>
      </c>
      <c r="E13" s="28">
        <v>557503.5</v>
      </c>
      <c r="F13" s="28">
        <v>0</v>
      </c>
      <c r="G13" s="28">
        <v>304073.65999999997</v>
      </c>
      <c r="H13" s="28"/>
      <c r="I13" s="28">
        <f t="shared" si="3"/>
        <v>2391841</v>
      </c>
      <c r="J13" s="28">
        <f>1458735.31+188921.69</f>
        <v>1647657</v>
      </c>
      <c r="K13" s="28">
        <v>548945.21</v>
      </c>
      <c r="L13" s="28">
        <v>0</v>
      </c>
      <c r="M13" s="28">
        <v>299405.78999999998</v>
      </c>
      <c r="N13" s="28">
        <v>0</v>
      </c>
      <c r="O13" s="29"/>
      <c r="P13" s="28">
        <f t="shared" si="4"/>
        <v>2496008</v>
      </c>
      <c r="Q13" s="28">
        <f>1463146.46+349200.67</f>
        <v>1812347.13</v>
      </c>
      <c r="R13" s="28">
        <v>550605.19999999995</v>
      </c>
      <c r="S13" s="28">
        <v>0</v>
      </c>
      <c r="T13" s="28">
        <v>300311.18</v>
      </c>
      <c r="U13" s="28">
        <v>0</v>
      </c>
      <c r="V13" s="31"/>
      <c r="W13" s="28">
        <f t="shared" si="5"/>
        <v>2663263.5100000002</v>
      </c>
      <c r="X13" s="28">
        <f t="shared" si="6"/>
        <v>7551112.5099999998</v>
      </c>
      <c r="Y13" s="22">
        <f>1900919.92-212933.58</f>
        <v>1687986.3399999999</v>
      </c>
      <c r="Z13" s="22">
        <v>560220.5</v>
      </c>
      <c r="AA13" s="22">
        <v>0</v>
      </c>
      <c r="AB13" s="22">
        <f>305555.56+212933.58</f>
        <v>518489.14</v>
      </c>
      <c r="AC13" s="22">
        <v>0</v>
      </c>
      <c r="AD13" s="22">
        <v>53760</v>
      </c>
      <c r="AE13" s="30">
        <f t="shared" si="0"/>
        <v>2820455.98</v>
      </c>
      <c r="AF13" s="30">
        <f t="shared" si="1"/>
        <v>10371568.49</v>
      </c>
      <c r="AG13" s="22">
        <v>1900919.92</v>
      </c>
      <c r="AH13" s="22">
        <v>560220.5</v>
      </c>
      <c r="AI13" s="22">
        <v>0</v>
      </c>
      <c r="AJ13" s="22">
        <v>305555.56</v>
      </c>
      <c r="AK13" s="22">
        <v>0</v>
      </c>
      <c r="AL13" s="22">
        <v>109480</v>
      </c>
      <c r="AM13" s="30">
        <f t="shared" si="7"/>
        <v>2876175.98</v>
      </c>
      <c r="AN13" s="22">
        <v>1900919.92</v>
      </c>
      <c r="AO13" s="22">
        <v>560220.5</v>
      </c>
      <c r="AP13" s="22">
        <v>0</v>
      </c>
      <c r="AQ13" s="22">
        <v>305555.56</v>
      </c>
      <c r="AR13" s="22">
        <v>0</v>
      </c>
      <c r="AS13" s="22">
        <v>84000</v>
      </c>
      <c r="AT13" s="30">
        <f t="shared" si="8"/>
        <v>2850695.98</v>
      </c>
      <c r="AU13" s="30">
        <f t="shared" si="9"/>
        <v>8547327.9399999995</v>
      </c>
      <c r="AV13" s="22">
        <v>1900919.92</v>
      </c>
      <c r="AW13" s="22">
        <v>560220.5</v>
      </c>
      <c r="AX13" s="22">
        <v>0</v>
      </c>
      <c r="AY13" s="22">
        <v>305555.56</v>
      </c>
      <c r="AZ13" s="22">
        <v>0</v>
      </c>
      <c r="BA13" s="22">
        <v>93520</v>
      </c>
      <c r="BB13" s="22">
        <f t="shared" si="10"/>
        <v>2860215.98</v>
      </c>
      <c r="BC13" s="22">
        <v>1900919.92</v>
      </c>
      <c r="BD13" s="22">
        <v>560220.5</v>
      </c>
      <c r="BE13" s="22">
        <v>0</v>
      </c>
      <c r="BF13" s="22">
        <v>305555.56</v>
      </c>
      <c r="BG13" s="22">
        <v>0</v>
      </c>
      <c r="BH13" s="22">
        <f t="shared" si="11"/>
        <v>2766695.98</v>
      </c>
      <c r="BI13" s="22">
        <v>1900919.92</v>
      </c>
      <c r="BJ13" s="22">
        <v>560220.5</v>
      </c>
      <c r="BK13" s="22">
        <v>0</v>
      </c>
      <c r="BL13" s="22">
        <v>305555.56</v>
      </c>
      <c r="BM13" s="22">
        <v>0</v>
      </c>
      <c r="BN13" s="22">
        <f t="shared" si="12"/>
        <v>2766695.98</v>
      </c>
      <c r="BO13" s="22">
        <f t="shared" si="13"/>
        <v>8393607.9399999995</v>
      </c>
      <c r="BP13" s="22">
        <f t="shared" si="2"/>
        <v>24492048.390000001</v>
      </c>
      <c r="BQ13" s="22">
        <v>480535.43</v>
      </c>
      <c r="BR13" s="22">
        <v>140055.13</v>
      </c>
      <c r="BS13" s="22">
        <v>0</v>
      </c>
      <c r="BT13" s="22">
        <v>76388.89</v>
      </c>
      <c r="BU13" s="22">
        <v>0</v>
      </c>
      <c r="BV13" s="30">
        <f t="shared" si="14"/>
        <v>696979.45000000007</v>
      </c>
      <c r="BW13" s="22">
        <v>328044.20000000007</v>
      </c>
      <c r="BX13" s="22">
        <v>95610.569999999992</v>
      </c>
      <c r="BY13" s="22">
        <v>0</v>
      </c>
      <c r="BZ13" s="22">
        <v>52147.939999999988</v>
      </c>
      <c r="CA13" s="22">
        <v>0</v>
      </c>
      <c r="CB13" s="22">
        <f t="shared" si="15"/>
        <v>475802.71000000008</v>
      </c>
      <c r="CC13" s="22">
        <v>249878.42</v>
      </c>
      <c r="CD13" s="22">
        <v>72828.67</v>
      </c>
      <c r="CE13" s="22">
        <v>0</v>
      </c>
      <c r="CF13" s="22">
        <v>39722.22</v>
      </c>
      <c r="CG13" s="22">
        <v>0</v>
      </c>
      <c r="CH13" s="30">
        <f t="shared" si="16"/>
        <v>362429.31000000006</v>
      </c>
      <c r="CI13" s="30">
        <f t="shared" si="17"/>
        <v>1535211.4700000002</v>
      </c>
      <c r="CJ13" s="30">
        <f t="shared" si="18"/>
        <v>26027259.859999999</v>
      </c>
    </row>
    <row r="14" spans="1:88" s="4" customFormat="1">
      <c r="A14" s="27" t="s">
        <v>46</v>
      </c>
      <c r="B14" s="27" t="s">
        <v>47</v>
      </c>
      <c r="C14" s="28"/>
      <c r="D14" s="28">
        <v>792477.32</v>
      </c>
      <c r="E14" s="28">
        <v>0</v>
      </c>
      <c r="F14" s="28">
        <v>0</v>
      </c>
      <c r="G14" s="28">
        <v>229065.96</v>
      </c>
      <c r="H14" s="28"/>
      <c r="I14" s="28">
        <f t="shared" si="3"/>
        <v>1021543.2799999999</v>
      </c>
      <c r="J14" s="28">
        <v>780311.93</v>
      </c>
      <c r="K14" s="28">
        <v>0</v>
      </c>
      <c r="L14" s="28">
        <v>0</v>
      </c>
      <c r="M14" s="28">
        <v>225549.54</v>
      </c>
      <c r="N14" s="28">
        <v>0</v>
      </c>
      <c r="O14" s="29"/>
      <c r="P14" s="28">
        <f t="shared" si="4"/>
        <v>1005861.4700000001</v>
      </c>
      <c r="Q14" s="28">
        <v>782671.56</v>
      </c>
      <c r="R14" s="28">
        <v>0</v>
      </c>
      <c r="S14" s="28">
        <v>0</v>
      </c>
      <c r="T14" s="28">
        <v>226231.6</v>
      </c>
      <c r="U14" s="28">
        <v>0</v>
      </c>
      <c r="V14" s="31"/>
      <c r="W14" s="28">
        <f t="shared" si="5"/>
        <v>1008903.16</v>
      </c>
      <c r="X14" s="28">
        <f t="shared" si="6"/>
        <v>3036307.91</v>
      </c>
      <c r="Y14" s="22">
        <v>832198.44749999989</v>
      </c>
      <c r="Z14" s="22">
        <v>0</v>
      </c>
      <c r="AA14" s="22">
        <v>0</v>
      </c>
      <c r="AB14" s="22">
        <v>230182.31</v>
      </c>
      <c r="AC14" s="22">
        <v>0</v>
      </c>
      <c r="AD14" s="22">
        <v>0</v>
      </c>
      <c r="AE14" s="30">
        <f t="shared" si="0"/>
        <v>1062380.7574999998</v>
      </c>
      <c r="AF14" s="30">
        <f t="shared" si="1"/>
        <v>4098688.6675</v>
      </c>
      <c r="AG14" s="22">
        <v>832198.44749999989</v>
      </c>
      <c r="AH14" s="22">
        <v>0</v>
      </c>
      <c r="AI14" s="22">
        <v>0</v>
      </c>
      <c r="AJ14" s="22">
        <v>230182.31</v>
      </c>
      <c r="AK14" s="22">
        <v>0</v>
      </c>
      <c r="AL14" s="22">
        <v>0</v>
      </c>
      <c r="AM14" s="30">
        <f t="shared" si="7"/>
        <v>1062380.7574999998</v>
      </c>
      <c r="AN14" s="22">
        <v>832198.44749999989</v>
      </c>
      <c r="AO14" s="22">
        <v>0</v>
      </c>
      <c r="AP14" s="22">
        <v>0</v>
      </c>
      <c r="AQ14" s="22">
        <v>230182.31</v>
      </c>
      <c r="AR14" s="22">
        <v>0</v>
      </c>
      <c r="AS14" s="22">
        <v>0</v>
      </c>
      <c r="AT14" s="30">
        <f t="shared" si="8"/>
        <v>1062380.7574999998</v>
      </c>
      <c r="AU14" s="30">
        <f t="shared" si="9"/>
        <v>3187142.2724999995</v>
      </c>
      <c r="AV14" s="22">
        <v>832198.44749999989</v>
      </c>
      <c r="AW14" s="22">
        <v>0</v>
      </c>
      <c r="AX14" s="22">
        <v>0</v>
      </c>
      <c r="AY14" s="22">
        <v>230182.31</v>
      </c>
      <c r="AZ14" s="22">
        <v>0</v>
      </c>
      <c r="BA14" s="22">
        <v>0</v>
      </c>
      <c r="BB14" s="22">
        <f t="shared" si="10"/>
        <v>1062380.7574999998</v>
      </c>
      <c r="BC14" s="22">
        <v>832198.44749999989</v>
      </c>
      <c r="BD14" s="22">
        <v>0</v>
      </c>
      <c r="BE14" s="22">
        <v>0</v>
      </c>
      <c r="BF14" s="22">
        <v>230182.31</v>
      </c>
      <c r="BG14" s="22">
        <v>0</v>
      </c>
      <c r="BH14" s="22">
        <f t="shared" si="11"/>
        <v>1062380.7574999998</v>
      </c>
      <c r="BI14" s="22">
        <v>832198.44749999989</v>
      </c>
      <c r="BJ14" s="22">
        <v>0</v>
      </c>
      <c r="BK14" s="22">
        <v>0</v>
      </c>
      <c r="BL14" s="22">
        <v>230182.31</v>
      </c>
      <c r="BM14" s="22">
        <v>0</v>
      </c>
      <c r="BN14" s="22">
        <f t="shared" si="12"/>
        <v>1062380.7574999998</v>
      </c>
      <c r="BO14" s="22">
        <f t="shared" si="13"/>
        <v>3187142.2724999995</v>
      </c>
      <c r="BP14" s="22">
        <f t="shared" si="2"/>
        <v>9410592.4550000001</v>
      </c>
      <c r="BQ14" s="22">
        <v>225192.6</v>
      </c>
      <c r="BR14" s="22">
        <v>0</v>
      </c>
      <c r="BS14" s="22">
        <v>0</v>
      </c>
      <c r="BT14" s="22">
        <v>57545.58</v>
      </c>
      <c r="BU14" s="22">
        <v>0</v>
      </c>
      <c r="BV14" s="30">
        <f t="shared" si="14"/>
        <v>282738.18</v>
      </c>
      <c r="BW14" s="22">
        <v>153730.85</v>
      </c>
      <c r="BX14" s="22">
        <v>0</v>
      </c>
      <c r="BY14" s="22">
        <v>0</v>
      </c>
      <c r="BZ14" s="22">
        <v>39284.290000000008</v>
      </c>
      <c r="CA14" s="22">
        <v>0</v>
      </c>
      <c r="CB14" s="22">
        <f t="shared" si="15"/>
        <v>193015.14</v>
      </c>
      <c r="CC14" s="22">
        <v>117100.15</v>
      </c>
      <c r="CD14" s="22">
        <v>0</v>
      </c>
      <c r="CE14" s="22">
        <v>0</v>
      </c>
      <c r="CF14" s="22">
        <v>29923.7</v>
      </c>
      <c r="CG14" s="22">
        <v>0</v>
      </c>
      <c r="CH14" s="30">
        <f t="shared" si="16"/>
        <v>147023.85</v>
      </c>
      <c r="CI14" s="30">
        <f t="shared" si="17"/>
        <v>622777.17000000004</v>
      </c>
      <c r="CJ14" s="30">
        <f t="shared" si="18"/>
        <v>10033369.624999998</v>
      </c>
    </row>
    <row r="15" spans="1:88" s="4" customFormat="1">
      <c r="A15" s="27" t="s">
        <v>48</v>
      </c>
      <c r="B15" s="27" t="s">
        <v>49</v>
      </c>
      <c r="C15" s="28"/>
      <c r="D15" s="28">
        <v>0</v>
      </c>
      <c r="E15" s="28">
        <v>2632714.29</v>
      </c>
      <c r="F15" s="28">
        <v>0</v>
      </c>
      <c r="G15" s="28">
        <v>0</v>
      </c>
      <c r="H15" s="28"/>
      <c r="I15" s="28">
        <f t="shared" si="3"/>
        <v>2632714.29</v>
      </c>
      <c r="J15" s="28">
        <v>0</v>
      </c>
      <c r="K15" s="28">
        <v>2592299.23</v>
      </c>
      <c r="L15" s="28">
        <v>0</v>
      </c>
      <c r="M15" s="28">
        <v>0</v>
      </c>
      <c r="N15" s="28">
        <v>0</v>
      </c>
      <c r="O15" s="29"/>
      <c r="P15" s="28">
        <f t="shared" si="4"/>
        <v>2592299.23</v>
      </c>
      <c r="Q15" s="28">
        <v>0</v>
      </c>
      <c r="R15" s="28">
        <v>2600138.2400000002</v>
      </c>
      <c r="S15" s="28">
        <v>0</v>
      </c>
      <c r="T15" s="28">
        <v>0</v>
      </c>
      <c r="U15" s="28">
        <v>0</v>
      </c>
      <c r="V15" s="31"/>
      <c r="W15" s="28">
        <f t="shared" si="5"/>
        <v>2600138.2400000002</v>
      </c>
      <c r="X15" s="28">
        <f t="shared" si="6"/>
        <v>7825151.7599999998</v>
      </c>
      <c r="Y15" s="22">
        <v>0</v>
      </c>
      <c r="Z15" s="22">
        <v>2645591.0099999998</v>
      </c>
      <c r="AA15" s="22">
        <v>0</v>
      </c>
      <c r="AB15" s="22">
        <v>0</v>
      </c>
      <c r="AC15" s="22">
        <v>0</v>
      </c>
      <c r="AD15" s="22">
        <v>0</v>
      </c>
      <c r="AE15" s="30">
        <f t="shared" si="0"/>
        <v>2645591.0099999998</v>
      </c>
      <c r="AF15" s="30">
        <f t="shared" si="1"/>
        <v>10470742.77</v>
      </c>
      <c r="AG15" s="22">
        <v>0</v>
      </c>
      <c r="AH15" s="22">
        <v>2645591.0099999998</v>
      </c>
      <c r="AI15" s="22">
        <v>0</v>
      </c>
      <c r="AJ15" s="22">
        <v>0</v>
      </c>
      <c r="AK15" s="22">
        <v>0</v>
      </c>
      <c r="AL15" s="22">
        <v>0</v>
      </c>
      <c r="AM15" s="30">
        <f t="shared" si="7"/>
        <v>2645591.0099999998</v>
      </c>
      <c r="AN15" s="22">
        <v>0</v>
      </c>
      <c r="AO15" s="22">
        <v>2645591.0099999998</v>
      </c>
      <c r="AP15" s="22">
        <v>0</v>
      </c>
      <c r="AQ15" s="22">
        <v>0</v>
      </c>
      <c r="AR15" s="22">
        <v>0</v>
      </c>
      <c r="AS15" s="22">
        <v>0</v>
      </c>
      <c r="AT15" s="30">
        <f t="shared" si="8"/>
        <v>2645591.0099999998</v>
      </c>
      <c r="AU15" s="30">
        <f t="shared" si="9"/>
        <v>7936773.0299999993</v>
      </c>
      <c r="AV15" s="22">
        <v>0</v>
      </c>
      <c r="AW15" s="22">
        <v>2645591.0099999998</v>
      </c>
      <c r="AX15" s="22">
        <v>0</v>
      </c>
      <c r="AY15" s="22">
        <v>0</v>
      </c>
      <c r="AZ15" s="22">
        <v>0</v>
      </c>
      <c r="BA15" s="22">
        <v>0</v>
      </c>
      <c r="BB15" s="22">
        <f t="shared" si="10"/>
        <v>2645591.0099999998</v>
      </c>
      <c r="BC15" s="22">
        <v>0</v>
      </c>
      <c r="BD15" s="22">
        <v>2645591.0099999998</v>
      </c>
      <c r="BE15" s="22">
        <v>0</v>
      </c>
      <c r="BF15" s="22">
        <v>0</v>
      </c>
      <c r="BG15" s="22">
        <v>0</v>
      </c>
      <c r="BH15" s="22">
        <f t="shared" si="11"/>
        <v>2645591.0099999998</v>
      </c>
      <c r="BI15" s="22">
        <v>0</v>
      </c>
      <c r="BJ15" s="22">
        <v>2645591.0099999998</v>
      </c>
      <c r="BK15" s="22">
        <v>0</v>
      </c>
      <c r="BL15" s="22">
        <v>0</v>
      </c>
      <c r="BM15" s="22">
        <v>0</v>
      </c>
      <c r="BN15" s="22">
        <f t="shared" si="12"/>
        <v>2645591.0099999998</v>
      </c>
      <c r="BO15" s="22">
        <f t="shared" si="13"/>
        <v>7936773.0299999993</v>
      </c>
      <c r="BP15" s="22">
        <f t="shared" si="2"/>
        <v>23698697.819999993</v>
      </c>
      <c r="BQ15" s="22">
        <v>0</v>
      </c>
      <c r="BR15" s="22">
        <v>661397.75</v>
      </c>
      <c r="BS15" s="22">
        <v>0</v>
      </c>
      <c r="BT15" s="22">
        <v>0</v>
      </c>
      <c r="BU15" s="22">
        <v>0</v>
      </c>
      <c r="BV15" s="30">
        <f t="shared" si="14"/>
        <v>661397.75</v>
      </c>
      <c r="BW15" s="22">
        <v>0</v>
      </c>
      <c r="BX15" s="22">
        <v>451512.37999999995</v>
      </c>
      <c r="BY15" s="22">
        <v>0</v>
      </c>
      <c r="BZ15" s="22">
        <v>0</v>
      </c>
      <c r="CA15" s="22">
        <v>0</v>
      </c>
      <c r="CB15" s="22">
        <f t="shared" si="15"/>
        <v>451512.37999999995</v>
      </c>
      <c r="CC15" s="22">
        <v>0</v>
      </c>
      <c r="CD15" s="22">
        <v>343926.83</v>
      </c>
      <c r="CE15" s="22">
        <v>0</v>
      </c>
      <c r="CF15" s="22">
        <v>0</v>
      </c>
      <c r="CG15" s="22">
        <v>0</v>
      </c>
      <c r="CH15" s="30">
        <f t="shared" si="16"/>
        <v>343926.83</v>
      </c>
      <c r="CI15" s="30">
        <f t="shared" si="17"/>
        <v>1456836.96</v>
      </c>
      <c r="CJ15" s="30">
        <f t="shared" si="18"/>
        <v>25155534.780000001</v>
      </c>
    </row>
    <row r="16" spans="1:88" s="4" customFormat="1">
      <c r="A16" s="27" t="s">
        <v>50</v>
      </c>
      <c r="B16" s="27" t="s">
        <v>51</v>
      </c>
      <c r="C16" s="28"/>
      <c r="D16" s="28">
        <v>3248416.87</v>
      </c>
      <c r="E16" s="28">
        <v>0</v>
      </c>
      <c r="F16" s="28">
        <v>0</v>
      </c>
      <c r="G16" s="28">
        <v>471046.47</v>
      </c>
      <c r="H16" s="28"/>
      <c r="I16" s="28">
        <f t="shared" si="3"/>
        <v>3719463.34</v>
      </c>
      <c r="J16" s="28">
        <v>3198550.11</v>
      </c>
      <c r="K16" s="28">
        <v>0</v>
      </c>
      <c r="L16" s="28">
        <v>0</v>
      </c>
      <c r="M16" s="28">
        <v>463815.39</v>
      </c>
      <c r="N16" s="28">
        <v>0</v>
      </c>
      <c r="O16" s="29"/>
      <c r="P16" s="28">
        <f t="shared" si="4"/>
        <v>3662365.5</v>
      </c>
      <c r="Q16" s="28">
        <v>3208222.39</v>
      </c>
      <c r="R16" s="28">
        <v>0</v>
      </c>
      <c r="S16" s="28">
        <v>0</v>
      </c>
      <c r="T16" s="28">
        <v>465217.95</v>
      </c>
      <c r="U16" s="28">
        <v>0</v>
      </c>
      <c r="V16" s="31"/>
      <c r="W16" s="28">
        <f t="shared" si="5"/>
        <v>3673440.3400000003</v>
      </c>
      <c r="X16" s="28">
        <f t="shared" si="6"/>
        <v>11055269.18</v>
      </c>
      <c r="Y16" s="22">
        <v>3169806.0750000007</v>
      </c>
      <c r="Z16" s="22">
        <v>0</v>
      </c>
      <c r="AA16" s="22">
        <v>0</v>
      </c>
      <c r="AB16" s="22">
        <v>473342.12</v>
      </c>
      <c r="AC16" s="22">
        <v>0</v>
      </c>
      <c r="AD16" s="22"/>
      <c r="AE16" s="30">
        <f t="shared" si="0"/>
        <v>3643148.1950000008</v>
      </c>
      <c r="AF16" s="30">
        <f t="shared" si="1"/>
        <v>14698417.375</v>
      </c>
      <c r="AG16" s="22">
        <v>3169806.0750000007</v>
      </c>
      <c r="AH16" s="22">
        <v>0</v>
      </c>
      <c r="AI16" s="22">
        <v>0</v>
      </c>
      <c r="AJ16" s="22">
        <v>473342.12</v>
      </c>
      <c r="AK16" s="22">
        <v>0</v>
      </c>
      <c r="AL16" s="22">
        <v>0</v>
      </c>
      <c r="AM16" s="30">
        <f t="shared" si="7"/>
        <v>3643148.1950000008</v>
      </c>
      <c r="AN16" s="22">
        <v>3169806.0750000007</v>
      </c>
      <c r="AO16" s="22">
        <v>0</v>
      </c>
      <c r="AP16" s="22">
        <v>0</v>
      </c>
      <c r="AQ16" s="22">
        <v>473342.12</v>
      </c>
      <c r="AR16" s="22">
        <v>0</v>
      </c>
      <c r="AS16" s="22">
        <v>0</v>
      </c>
      <c r="AT16" s="30">
        <f t="shared" si="8"/>
        <v>3643148.1950000008</v>
      </c>
      <c r="AU16" s="30">
        <f t="shared" si="9"/>
        <v>10929444.585000003</v>
      </c>
      <c r="AV16" s="22">
        <v>3169806.0750000007</v>
      </c>
      <c r="AW16" s="22">
        <v>0</v>
      </c>
      <c r="AX16" s="22">
        <v>0</v>
      </c>
      <c r="AY16" s="22">
        <v>473342.12</v>
      </c>
      <c r="AZ16" s="22">
        <v>0</v>
      </c>
      <c r="BA16" s="22">
        <v>0</v>
      </c>
      <c r="BB16" s="22">
        <f t="shared" si="10"/>
        <v>3643148.1950000008</v>
      </c>
      <c r="BC16" s="22">
        <v>3169806.0750000007</v>
      </c>
      <c r="BD16" s="22">
        <v>0</v>
      </c>
      <c r="BE16" s="22">
        <v>0</v>
      </c>
      <c r="BF16" s="22">
        <v>473342.12</v>
      </c>
      <c r="BG16" s="22">
        <v>0</v>
      </c>
      <c r="BH16" s="22">
        <f t="shared" si="11"/>
        <v>3643148.1950000008</v>
      </c>
      <c r="BI16" s="22">
        <v>3169806.0750000007</v>
      </c>
      <c r="BJ16" s="22">
        <v>0</v>
      </c>
      <c r="BK16" s="22">
        <v>0</v>
      </c>
      <c r="BL16" s="22">
        <v>473342.12</v>
      </c>
      <c r="BM16" s="22">
        <v>0</v>
      </c>
      <c r="BN16" s="22">
        <f t="shared" si="12"/>
        <v>3643148.1950000008</v>
      </c>
      <c r="BO16" s="22">
        <f t="shared" si="13"/>
        <v>10929444.585000003</v>
      </c>
      <c r="BP16" s="22">
        <f t="shared" si="2"/>
        <v>32914158.350000001</v>
      </c>
      <c r="BQ16" s="22">
        <v>855908.28</v>
      </c>
      <c r="BR16" s="22">
        <v>0</v>
      </c>
      <c r="BS16" s="22">
        <v>0</v>
      </c>
      <c r="BT16" s="22">
        <v>118335.53</v>
      </c>
      <c r="BU16" s="22">
        <v>0</v>
      </c>
      <c r="BV16" s="30">
        <f t="shared" si="14"/>
        <v>974243.81</v>
      </c>
      <c r="BW16" s="22">
        <v>584297.68999999994</v>
      </c>
      <c r="BX16" s="22">
        <v>0</v>
      </c>
      <c r="BY16" s="22">
        <v>0</v>
      </c>
      <c r="BZ16" s="22">
        <v>80783.389999999985</v>
      </c>
      <c r="CA16" s="22">
        <v>0</v>
      </c>
      <c r="CB16" s="22">
        <f t="shared" si="15"/>
        <v>665081.07999999996</v>
      </c>
      <c r="CC16" s="22">
        <v>445072.3</v>
      </c>
      <c r="CD16" s="22">
        <v>0</v>
      </c>
      <c r="CE16" s="22">
        <v>0</v>
      </c>
      <c r="CF16" s="22">
        <v>61534.48</v>
      </c>
      <c r="CG16" s="22">
        <v>0</v>
      </c>
      <c r="CH16" s="30">
        <f t="shared" si="16"/>
        <v>506606.77999999997</v>
      </c>
      <c r="CI16" s="30">
        <f t="shared" si="17"/>
        <v>2145931.67</v>
      </c>
      <c r="CJ16" s="30">
        <f t="shared" si="18"/>
        <v>35060090.020000003</v>
      </c>
    </row>
    <row r="17" spans="1:89">
      <c r="A17" s="27" t="s">
        <v>52</v>
      </c>
      <c r="B17" s="27" t="s">
        <v>53</v>
      </c>
      <c r="C17" s="28"/>
      <c r="D17" s="28">
        <v>3335693.62</v>
      </c>
      <c r="E17" s="28">
        <v>354978.77</v>
      </c>
      <c r="F17" s="28">
        <v>0</v>
      </c>
      <c r="G17" s="28">
        <v>152792.59</v>
      </c>
      <c r="H17" s="28"/>
      <c r="I17" s="28">
        <f t="shared" si="3"/>
        <v>3843464.98</v>
      </c>
      <c r="J17" s="28">
        <v>3284487.05</v>
      </c>
      <c r="K17" s="28">
        <v>349529.46</v>
      </c>
      <c r="L17" s="28">
        <v>0</v>
      </c>
      <c r="M17" s="28">
        <v>150447.06</v>
      </c>
      <c r="N17" s="28">
        <v>46061.17</v>
      </c>
      <c r="O17" s="29"/>
      <c r="P17" s="28">
        <f t="shared" si="4"/>
        <v>3830524.7399999998</v>
      </c>
      <c r="Q17" s="28">
        <v>3294419.21</v>
      </c>
      <c r="R17" s="28">
        <v>350586.42</v>
      </c>
      <c r="S17" s="28">
        <v>0</v>
      </c>
      <c r="T17" s="28">
        <v>150902.01</v>
      </c>
      <c r="U17" s="28">
        <v>46061.17</v>
      </c>
      <c r="V17" s="31"/>
      <c r="W17" s="28">
        <f t="shared" si="5"/>
        <v>3841968.8099999996</v>
      </c>
      <c r="X17" s="28">
        <f t="shared" si="6"/>
        <v>11515958.529999999</v>
      </c>
      <c r="Y17" s="22">
        <v>3413199.1749999993</v>
      </c>
      <c r="Z17" s="22">
        <v>356708.76</v>
      </c>
      <c r="AA17" s="22">
        <v>0</v>
      </c>
      <c r="AB17" s="22">
        <v>153537.23000000001</v>
      </c>
      <c r="AC17" s="22">
        <v>46061.17</v>
      </c>
      <c r="AD17" s="22">
        <v>0</v>
      </c>
      <c r="AE17" s="30">
        <f t="shared" si="0"/>
        <v>3969506.3349999995</v>
      </c>
      <c r="AF17" s="30">
        <f t="shared" si="1"/>
        <v>15485464.864999998</v>
      </c>
      <c r="AG17" s="22">
        <v>3413199.1749999993</v>
      </c>
      <c r="AH17" s="22">
        <v>356708.76</v>
      </c>
      <c r="AI17" s="22">
        <v>0</v>
      </c>
      <c r="AJ17" s="22">
        <v>153537.23000000001</v>
      </c>
      <c r="AK17" s="22">
        <v>46061.17</v>
      </c>
      <c r="AL17" s="22">
        <v>0</v>
      </c>
      <c r="AM17" s="30">
        <f t="shared" si="7"/>
        <v>3969506.3349999995</v>
      </c>
      <c r="AN17" s="22">
        <v>3413199.1749999993</v>
      </c>
      <c r="AO17" s="22">
        <v>356708.76</v>
      </c>
      <c r="AP17" s="22">
        <v>0</v>
      </c>
      <c r="AQ17" s="22">
        <v>153537.23000000001</v>
      </c>
      <c r="AR17" s="22">
        <v>46061.17</v>
      </c>
      <c r="AS17" s="22">
        <v>0</v>
      </c>
      <c r="AT17" s="30">
        <f t="shared" si="8"/>
        <v>3969506.3349999995</v>
      </c>
      <c r="AU17" s="30">
        <f t="shared" si="9"/>
        <v>11908519.004999999</v>
      </c>
      <c r="AV17" s="22">
        <v>3413199.1749999993</v>
      </c>
      <c r="AW17" s="22">
        <v>356708.76</v>
      </c>
      <c r="AX17" s="22">
        <v>0</v>
      </c>
      <c r="AY17" s="22">
        <v>153537.23000000001</v>
      </c>
      <c r="AZ17" s="22">
        <v>46061.17</v>
      </c>
      <c r="BA17" s="22">
        <v>0</v>
      </c>
      <c r="BB17" s="22">
        <f t="shared" si="10"/>
        <v>3969506.3349999995</v>
      </c>
      <c r="BC17" s="22">
        <v>3413199.1749999993</v>
      </c>
      <c r="BD17" s="22">
        <v>356708.76</v>
      </c>
      <c r="BE17" s="22">
        <v>0</v>
      </c>
      <c r="BF17" s="22">
        <v>153537.23000000001</v>
      </c>
      <c r="BG17" s="22">
        <v>46061.17</v>
      </c>
      <c r="BH17" s="22">
        <f t="shared" si="11"/>
        <v>3969506.3349999995</v>
      </c>
      <c r="BI17" s="22">
        <v>3413199.1749999993</v>
      </c>
      <c r="BJ17" s="22">
        <v>356708.76</v>
      </c>
      <c r="BK17" s="22">
        <v>0</v>
      </c>
      <c r="BL17" s="22">
        <v>153537.23000000001</v>
      </c>
      <c r="BM17" s="22">
        <v>46061.17</v>
      </c>
      <c r="BN17" s="22">
        <f t="shared" si="12"/>
        <v>3969506.3349999995</v>
      </c>
      <c r="BO17" s="22">
        <f t="shared" si="13"/>
        <v>11908519.004999999</v>
      </c>
      <c r="BP17" s="22">
        <f t="shared" si="2"/>
        <v>35332996.539999999</v>
      </c>
      <c r="BQ17" s="22">
        <v>830612.29</v>
      </c>
      <c r="BR17" s="22">
        <v>89177.19</v>
      </c>
      <c r="BS17" s="22">
        <v>0</v>
      </c>
      <c r="BT17" s="22">
        <v>38384.31</v>
      </c>
      <c r="BU17" s="22">
        <v>11515.29</v>
      </c>
      <c r="BV17" s="30">
        <f t="shared" si="14"/>
        <v>969689.08000000007</v>
      </c>
      <c r="BW17" s="22">
        <v>567029.0199999999</v>
      </c>
      <c r="BX17" s="22">
        <v>60878.05</v>
      </c>
      <c r="BY17" s="22">
        <v>0</v>
      </c>
      <c r="BZ17" s="22">
        <v>26203.579999999998</v>
      </c>
      <c r="CA17" s="22">
        <v>7861.079999999999</v>
      </c>
      <c r="CB17" s="22">
        <f t="shared" si="15"/>
        <v>661971.72999999986</v>
      </c>
      <c r="CC17" s="22">
        <v>431918.39</v>
      </c>
      <c r="CD17" s="22">
        <v>46372.14</v>
      </c>
      <c r="CE17" s="22">
        <v>0</v>
      </c>
      <c r="CF17" s="22">
        <v>19959.84</v>
      </c>
      <c r="CG17" s="22">
        <v>5987.95</v>
      </c>
      <c r="CH17" s="30">
        <f t="shared" si="16"/>
        <v>504238.32000000007</v>
      </c>
      <c r="CI17" s="30">
        <f t="shared" si="17"/>
        <v>2135899.13</v>
      </c>
      <c r="CJ17" s="30">
        <f t="shared" si="18"/>
        <v>37468895.669999994</v>
      </c>
    </row>
    <row r="18" spans="1:89">
      <c r="A18" s="27" t="s">
        <v>54</v>
      </c>
      <c r="B18" s="27" t="s">
        <v>55</v>
      </c>
      <c r="C18" s="28">
        <f>6737691.22-5624181.18</f>
        <v>1113510.04</v>
      </c>
      <c r="D18" s="28">
        <f>4270309.32+941953.32</f>
        <v>5212262.6400000006</v>
      </c>
      <c r="E18" s="28">
        <v>259180.97</v>
      </c>
      <c r="F18" s="28">
        <v>0</v>
      </c>
      <c r="G18" s="28">
        <v>130029.38</v>
      </c>
      <c r="H18" s="28">
        <v>306935.82</v>
      </c>
      <c r="I18" s="28">
        <f t="shared" si="3"/>
        <v>5908408.8100000005</v>
      </c>
      <c r="J18" s="28">
        <f>4204755.38+941953.32</f>
        <v>5146708.7</v>
      </c>
      <c r="K18" s="28">
        <v>255202.26</v>
      </c>
      <c r="L18" s="28">
        <v>0</v>
      </c>
      <c r="M18" s="28">
        <v>128033.29</v>
      </c>
      <c r="N18" s="28">
        <v>0</v>
      </c>
      <c r="O18" s="29">
        <f>6459076.09-5529944.25</f>
        <v>929131.83999999985</v>
      </c>
      <c r="P18" s="28">
        <f t="shared" si="4"/>
        <v>6459076.0899999999</v>
      </c>
      <c r="Q18" s="28">
        <f>4217470.4+941953.32</f>
        <v>5159423.7200000007</v>
      </c>
      <c r="R18" s="28">
        <v>255973.98</v>
      </c>
      <c r="S18" s="28">
        <v>0</v>
      </c>
      <c r="T18" s="28">
        <v>128420.46</v>
      </c>
      <c r="U18" s="28">
        <v>0</v>
      </c>
      <c r="V18" s="31">
        <v>863404.9</v>
      </c>
      <c r="W18" s="28">
        <f t="shared" si="5"/>
        <v>6407223.0600000015</v>
      </c>
      <c r="X18" s="28">
        <f t="shared" si="6"/>
        <v>19888218.000000004</v>
      </c>
      <c r="Y18" s="22">
        <v>5221665.4533333331</v>
      </c>
      <c r="Z18" s="22">
        <v>260542.1</v>
      </c>
      <c r="AA18" s="22">
        <v>0</v>
      </c>
      <c r="AB18" s="22">
        <v>130663.08</v>
      </c>
      <c r="AC18" s="22">
        <v>0</v>
      </c>
      <c r="AD18" s="22">
        <v>0</v>
      </c>
      <c r="AE18" s="30">
        <f t="shared" si="0"/>
        <v>5612870.6333333328</v>
      </c>
      <c r="AF18" s="30">
        <f t="shared" si="1"/>
        <v>25501088.633333337</v>
      </c>
      <c r="AG18" s="22">
        <v>5221665.4533333331</v>
      </c>
      <c r="AH18" s="22">
        <v>260542.1</v>
      </c>
      <c r="AI18" s="22">
        <v>0</v>
      </c>
      <c r="AJ18" s="22">
        <v>130663.08</v>
      </c>
      <c r="AK18" s="22">
        <v>0</v>
      </c>
      <c r="AL18" s="22">
        <v>0</v>
      </c>
      <c r="AM18" s="30">
        <f t="shared" si="7"/>
        <v>5612870.6333333328</v>
      </c>
      <c r="AN18" s="22">
        <v>5221665.4533333331</v>
      </c>
      <c r="AO18" s="22">
        <v>260542.1</v>
      </c>
      <c r="AP18" s="22">
        <v>0</v>
      </c>
      <c r="AQ18" s="22">
        <v>130663.08</v>
      </c>
      <c r="AR18" s="22">
        <v>0</v>
      </c>
      <c r="AS18" s="22">
        <v>0</v>
      </c>
      <c r="AT18" s="30">
        <f t="shared" si="8"/>
        <v>5612870.6333333328</v>
      </c>
      <c r="AU18" s="30">
        <f t="shared" si="9"/>
        <v>16838611.899999999</v>
      </c>
      <c r="AV18" s="22">
        <v>5221665.4533333331</v>
      </c>
      <c r="AW18" s="22">
        <v>260542.1</v>
      </c>
      <c r="AX18" s="22">
        <v>0</v>
      </c>
      <c r="AY18" s="22">
        <v>130663.08</v>
      </c>
      <c r="AZ18" s="22">
        <v>0</v>
      </c>
      <c r="BA18" s="22">
        <v>0</v>
      </c>
      <c r="BB18" s="22">
        <f t="shared" si="10"/>
        <v>5612870.6333333328</v>
      </c>
      <c r="BC18" s="22">
        <v>5221665.4533333331</v>
      </c>
      <c r="BD18" s="22">
        <v>260542.1</v>
      </c>
      <c r="BE18" s="22">
        <v>0</v>
      </c>
      <c r="BF18" s="22">
        <v>130663.08</v>
      </c>
      <c r="BG18" s="22">
        <v>0</v>
      </c>
      <c r="BH18" s="22">
        <f t="shared" si="11"/>
        <v>5612870.6333333328</v>
      </c>
      <c r="BI18" s="22">
        <v>5221665.4533333331</v>
      </c>
      <c r="BJ18" s="22">
        <v>260542.1</v>
      </c>
      <c r="BK18" s="22">
        <v>0</v>
      </c>
      <c r="BL18" s="22">
        <v>130663.08</v>
      </c>
      <c r="BM18" s="22">
        <v>0</v>
      </c>
      <c r="BN18" s="22">
        <f t="shared" si="12"/>
        <v>5612870.6333333328</v>
      </c>
      <c r="BO18" s="22">
        <f t="shared" si="13"/>
        <v>16838611.899999999</v>
      </c>
      <c r="BP18" s="22">
        <f t="shared" si="2"/>
        <v>53565441.800000004</v>
      </c>
      <c r="BQ18" s="22">
        <v>1148956.5</v>
      </c>
      <c r="BR18" s="22">
        <v>65135.53</v>
      </c>
      <c r="BS18" s="22">
        <v>0</v>
      </c>
      <c r="BT18" s="22">
        <v>32665.77</v>
      </c>
      <c r="BU18" s="22">
        <v>0</v>
      </c>
      <c r="BV18" s="30">
        <f t="shared" si="14"/>
        <v>1246757.8</v>
      </c>
      <c r="BW18" s="22">
        <v>784351.14</v>
      </c>
      <c r="BX18" s="22">
        <v>44465.670000000013</v>
      </c>
      <c r="BY18" s="22">
        <v>0</v>
      </c>
      <c r="BZ18" s="22">
        <v>22299.74</v>
      </c>
      <c r="CA18" s="22">
        <v>0</v>
      </c>
      <c r="CB18" s="22">
        <f t="shared" si="15"/>
        <v>851116.55</v>
      </c>
      <c r="CC18" s="22">
        <v>597457.38</v>
      </c>
      <c r="CD18" s="22">
        <v>33870.47</v>
      </c>
      <c r="CE18" s="22">
        <v>0</v>
      </c>
      <c r="CF18" s="22">
        <v>16986.2</v>
      </c>
      <c r="CG18" s="22">
        <v>0</v>
      </c>
      <c r="CH18" s="30">
        <f t="shared" si="16"/>
        <v>648314.04999999993</v>
      </c>
      <c r="CI18" s="30">
        <f t="shared" si="17"/>
        <v>2746188.4</v>
      </c>
      <c r="CJ18" s="30">
        <f t="shared" si="18"/>
        <v>56311630.200000003</v>
      </c>
    </row>
    <row r="19" spans="1:89">
      <c r="A19" s="27" t="s">
        <v>56</v>
      </c>
      <c r="B19" s="27" t="s">
        <v>57</v>
      </c>
      <c r="C19" s="28"/>
      <c r="D19" s="28">
        <f>1882275.69+472862.24</f>
        <v>2355137.9299999997</v>
      </c>
      <c r="E19" s="28">
        <v>86610</v>
      </c>
      <c r="F19" s="28">
        <v>0</v>
      </c>
      <c r="G19" s="28">
        <v>178766.59</v>
      </c>
      <c r="H19" s="28"/>
      <c r="I19" s="28">
        <f t="shared" si="3"/>
        <v>2620514.5199999996</v>
      </c>
      <c r="J19" s="28">
        <f>1853380.7+472862.24</f>
        <v>2326242.94</v>
      </c>
      <c r="K19" s="28">
        <v>85280.44</v>
      </c>
      <c r="L19" s="28">
        <v>0</v>
      </c>
      <c r="M19" s="28">
        <v>176022.33</v>
      </c>
      <c r="N19" s="28">
        <v>0</v>
      </c>
      <c r="O19" s="29"/>
      <c r="P19" s="28">
        <f t="shared" si="4"/>
        <v>2587545.71</v>
      </c>
      <c r="Q19" s="28">
        <f>1858985.24+472862.24</f>
        <v>2331847.48</v>
      </c>
      <c r="R19" s="28">
        <v>85538.32</v>
      </c>
      <c r="S19" s="28">
        <v>0</v>
      </c>
      <c r="T19" s="28">
        <v>176554.61</v>
      </c>
      <c r="U19" s="28">
        <v>0</v>
      </c>
      <c r="V19" s="31"/>
      <c r="W19" s="28">
        <f t="shared" si="5"/>
        <v>2593940.4099999997</v>
      </c>
      <c r="X19" s="28">
        <f t="shared" si="6"/>
        <v>7802000.6399999987</v>
      </c>
      <c r="Y19" s="22">
        <v>2345735.3275000001</v>
      </c>
      <c r="Z19" s="22">
        <v>87386.65</v>
      </c>
      <c r="AA19" s="22">
        <v>0</v>
      </c>
      <c r="AB19" s="22">
        <v>179637.81</v>
      </c>
      <c r="AC19" s="22">
        <v>0</v>
      </c>
      <c r="AD19" s="22">
        <v>0</v>
      </c>
      <c r="AE19" s="30">
        <f t="shared" si="0"/>
        <v>2612759.7875000001</v>
      </c>
      <c r="AF19" s="30">
        <f t="shared" si="1"/>
        <v>10414760.427499998</v>
      </c>
      <c r="AG19" s="22">
        <v>2345735.3275000001</v>
      </c>
      <c r="AH19" s="22">
        <v>87386.65</v>
      </c>
      <c r="AI19" s="22">
        <v>0</v>
      </c>
      <c r="AJ19" s="22">
        <v>179637.81</v>
      </c>
      <c r="AK19" s="22">
        <v>0</v>
      </c>
      <c r="AL19" s="22">
        <v>0</v>
      </c>
      <c r="AM19" s="30">
        <f t="shared" si="7"/>
        <v>2612759.7875000001</v>
      </c>
      <c r="AN19" s="22">
        <v>2345735.3275000001</v>
      </c>
      <c r="AO19" s="22">
        <v>87386.65</v>
      </c>
      <c r="AP19" s="22">
        <v>0</v>
      </c>
      <c r="AQ19" s="22">
        <v>179637.81</v>
      </c>
      <c r="AR19" s="22">
        <v>0</v>
      </c>
      <c r="AS19" s="22">
        <v>0</v>
      </c>
      <c r="AT19" s="30">
        <f t="shared" si="8"/>
        <v>2612759.7875000001</v>
      </c>
      <c r="AU19" s="30">
        <f t="shared" si="9"/>
        <v>7838279.3625000007</v>
      </c>
      <c r="AV19" s="22">
        <v>2345735.3275000001</v>
      </c>
      <c r="AW19" s="22">
        <v>87386.65</v>
      </c>
      <c r="AX19" s="22">
        <v>0</v>
      </c>
      <c r="AY19" s="22">
        <v>179637.81</v>
      </c>
      <c r="AZ19" s="22">
        <f>+AY19*30%</f>
        <v>53891.343000000001</v>
      </c>
      <c r="BA19" s="22">
        <v>0</v>
      </c>
      <c r="BB19" s="22">
        <f t="shared" si="10"/>
        <v>2666651.1305</v>
      </c>
      <c r="BC19" s="22">
        <v>2345735.3275000001</v>
      </c>
      <c r="BD19" s="22">
        <v>87386.65</v>
      </c>
      <c r="BE19" s="22">
        <v>0</v>
      </c>
      <c r="BF19" s="22">
        <v>179637.81</v>
      </c>
      <c r="BG19" s="22">
        <f>+BF19*30%</f>
        <v>53891.343000000001</v>
      </c>
      <c r="BH19" s="22">
        <f t="shared" si="11"/>
        <v>2666651.1305</v>
      </c>
      <c r="BI19" s="22">
        <v>2345735.3275000001</v>
      </c>
      <c r="BJ19" s="22">
        <v>87386.65</v>
      </c>
      <c r="BK19" s="22">
        <v>0</v>
      </c>
      <c r="BL19" s="22">
        <v>179637.81</v>
      </c>
      <c r="BM19" s="22">
        <f>+BL19*30%</f>
        <v>53891.343000000001</v>
      </c>
      <c r="BN19" s="22">
        <f t="shared" si="12"/>
        <v>2666651.1305</v>
      </c>
      <c r="BO19" s="22">
        <f t="shared" si="13"/>
        <v>7999953.3914999999</v>
      </c>
      <c r="BP19" s="22">
        <f t="shared" si="2"/>
        <v>23640233.393999998</v>
      </c>
      <c r="BQ19" s="22">
        <v>567075.06000000006</v>
      </c>
      <c r="BR19" s="22">
        <v>21846.66</v>
      </c>
      <c r="BS19" s="22">
        <v>0</v>
      </c>
      <c r="BT19" s="22">
        <v>44909.45</v>
      </c>
      <c r="BU19" s="22">
        <f>+BT19*30%</f>
        <v>13472.834999999999</v>
      </c>
      <c r="BV19" s="30">
        <f t="shared" si="14"/>
        <v>647304.005</v>
      </c>
      <c r="BW19" s="22">
        <v>387121.67999999993</v>
      </c>
      <c r="BX19" s="22">
        <v>14913.94</v>
      </c>
      <c r="BY19" s="22">
        <v>0</v>
      </c>
      <c r="BZ19" s="22">
        <v>30658.059999999998</v>
      </c>
      <c r="CA19" s="22">
        <f>+BZ19*30%</f>
        <v>9197.4179999999997</v>
      </c>
      <c r="CB19" s="22">
        <f t="shared" si="15"/>
        <v>441891.09799999994</v>
      </c>
      <c r="CC19" s="22">
        <v>294879.03000000003</v>
      </c>
      <c r="CD19" s="22">
        <v>11360.26</v>
      </c>
      <c r="CE19" s="22">
        <v>0</v>
      </c>
      <c r="CF19" s="22">
        <v>23352.92</v>
      </c>
      <c r="CG19" s="22">
        <f>+CF19*30%</f>
        <v>7005.8759999999993</v>
      </c>
      <c r="CH19" s="30">
        <f t="shared" si="16"/>
        <v>336598.08600000001</v>
      </c>
      <c r="CI19" s="30">
        <f t="shared" si="17"/>
        <v>1425793.1889999998</v>
      </c>
      <c r="CJ19" s="30">
        <f t="shared" si="18"/>
        <v>25066026.583000001</v>
      </c>
    </row>
    <row r="20" spans="1:89">
      <c r="A20" s="27" t="s">
        <v>58</v>
      </c>
      <c r="B20" s="27" t="s">
        <v>59</v>
      </c>
      <c r="C20" s="28"/>
      <c r="D20" s="28">
        <v>1676988.51</v>
      </c>
      <c r="E20" s="28">
        <v>210288.15</v>
      </c>
      <c r="F20" s="28">
        <v>0</v>
      </c>
      <c r="G20" s="28">
        <v>340465.58</v>
      </c>
      <c r="H20" s="28"/>
      <c r="I20" s="28">
        <f t="shared" si="3"/>
        <v>2227742.2399999998</v>
      </c>
      <c r="J20" s="28">
        <v>1651244.89</v>
      </c>
      <c r="K20" s="28">
        <v>207060</v>
      </c>
      <c r="L20" s="28">
        <v>0</v>
      </c>
      <c r="M20" s="28">
        <v>335239.06</v>
      </c>
      <c r="N20" s="28">
        <v>73652.800000000003</v>
      </c>
      <c r="O20" s="29"/>
      <c r="P20" s="28">
        <f t="shared" si="4"/>
        <v>2267196.7499999995</v>
      </c>
      <c r="Q20" s="28">
        <v>1656238.19</v>
      </c>
      <c r="R20" s="28">
        <v>207686.14</v>
      </c>
      <c r="S20" s="28">
        <v>0</v>
      </c>
      <c r="T20" s="28">
        <v>336252.81</v>
      </c>
      <c r="U20" s="28">
        <v>15969.05</v>
      </c>
      <c r="V20" s="31"/>
      <c r="W20" s="28">
        <f t="shared" si="5"/>
        <v>2216146.19</v>
      </c>
      <c r="X20" s="28">
        <f t="shared" si="6"/>
        <v>6711085.1799999997</v>
      </c>
      <c r="Y20" s="22">
        <v>1548629.0719999999</v>
      </c>
      <c r="Z20" s="22">
        <v>211237.37</v>
      </c>
      <c r="AA20" s="22">
        <v>0</v>
      </c>
      <c r="AB20" s="22">
        <v>342124.84</v>
      </c>
      <c r="AC20" s="22">
        <v>3463.18</v>
      </c>
      <c r="AD20" s="22">
        <v>0</v>
      </c>
      <c r="AE20" s="30">
        <f t="shared" si="0"/>
        <v>2105454.4619999998</v>
      </c>
      <c r="AF20" s="30">
        <f t="shared" si="1"/>
        <v>8816539.6419999991</v>
      </c>
      <c r="AG20" s="22">
        <v>1548629.07</v>
      </c>
      <c r="AH20" s="22">
        <v>211237.37</v>
      </c>
      <c r="AI20" s="22">
        <v>0</v>
      </c>
      <c r="AJ20" s="22">
        <v>342124.84</v>
      </c>
      <c r="AK20" s="22">
        <v>0</v>
      </c>
      <c r="AL20" s="22">
        <v>0</v>
      </c>
      <c r="AM20" s="30">
        <f t="shared" si="7"/>
        <v>2101991.2799999998</v>
      </c>
      <c r="AN20" s="22">
        <v>1548629.07</v>
      </c>
      <c r="AO20" s="22">
        <v>211237.37</v>
      </c>
      <c r="AP20" s="22">
        <v>0</v>
      </c>
      <c r="AQ20" s="22">
        <v>342124.84</v>
      </c>
      <c r="AR20" s="22">
        <v>0</v>
      </c>
      <c r="AS20" s="22">
        <v>0</v>
      </c>
      <c r="AT20" s="30">
        <f t="shared" si="8"/>
        <v>2101991.2799999998</v>
      </c>
      <c r="AU20" s="30">
        <f>+AE20+AM20+AT20</f>
        <v>6309437.0219999999</v>
      </c>
      <c r="AV20" s="22">
        <v>1548629.07</v>
      </c>
      <c r="AW20" s="22">
        <v>211237.37</v>
      </c>
      <c r="AX20" s="22">
        <v>0</v>
      </c>
      <c r="AY20" s="22">
        <v>342124.84</v>
      </c>
      <c r="AZ20" s="22">
        <v>0</v>
      </c>
      <c r="BA20" s="22">
        <v>0</v>
      </c>
      <c r="BB20" s="22">
        <f t="shared" si="10"/>
        <v>2101991.2799999998</v>
      </c>
      <c r="BC20" s="22">
        <v>1548629.07</v>
      </c>
      <c r="BD20" s="22">
        <v>211237.37</v>
      </c>
      <c r="BE20" s="22">
        <v>0</v>
      </c>
      <c r="BF20" s="22">
        <v>342124.84</v>
      </c>
      <c r="BG20" s="22">
        <v>0</v>
      </c>
      <c r="BH20" s="22">
        <f t="shared" si="11"/>
        <v>2101991.2799999998</v>
      </c>
      <c r="BI20" s="22">
        <v>1548629.07</v>
      </c>
      <c r="BJ20" s="22">
        <v>211237.37</v>
      </c>
      <c r="BK20" s="22">
        <v>0</v>
      </c>
      <c r="BL20" s="22">
        <v>342124.84</v>
      </c>
      <c r="BM20" s="22">
        <v>0</v>
      </c>
      <c r="BN20" s="22">
        <f t="shared" si="12"/>
        <v>2101991.2799999998</v>
      </c>
      <c r="BO20" s="22">
        <f t="shared" si="13"/>
        <v>6305973.8399999999</v>
      </c>
      <c r="BP20" s="22">
        <f t="shared" si="2"/>
        <v>19326496.041999999</v>
      </c>
      <c r="BQ20" s="22">
        <v>309725.82</v>
      </c>
      <c r="BR20" s="22">
        <v>52809.34</v>
      </c>
      <c r="BS20" s="22">
        <v>0</v>
      </c>
      <c r="BT20" s="22">
        <v>85531.21</v>
      </c>
      <c r="BU20" s="22">
        <v>0</v>
      </c>
      <c r="BV20" s="30">
        <f t="shared" si="14"/>
        <v>448066.37000000005</v>
      </c>
      <c r="BW20" s="22">
        <v>211438.63999999998</v>
      </c>
      <c r="BX20" s="22">
        <v>36051.03</v>
      </c>
      <c r="BY20" s="22">
        <v>0</v>
      </c>
      <c r="BZ20" s="22">
        <v>58389.07</v>
      </c>
      <c r="CA20" s="22">
        <v>0</v>
      </c>
      <c r="CB20" s="22">
        <f t="shared" si="15"/>
        <v>305878.74</v>
      </c>
      <c r="CC20" s="22">
        <v>161057.42000000001</v>
      </c>
      <c r="CD20" s="22">
        <v>27460.86</v>
      </c>
      <c r="CE20" s="22">
        <v>0</v>
      </c>
      <c r="CF20" s="22">
        <v>44476.23</v>
      </c>
      <c r="CG20" s="22">
        <v>0</v>
      </c>
      <c r="CH20" s="30">
        <f t="shared" si="16"/>
        <v>232994.51000000004</v>
      </c>
      <c r="CI20" s="30">
        <f t="shared" si="17"/>
        <v>986939.62000000011</v>
      </c>
      <c r="CJ20" s="30">
        <f t="shared" si="18"/>
        <v>20313435.662</v>
      </c>
    </row>
    <row r="21" spans="1:89">
      <c r="A21" s="27" t="s">
        <v>60</v>
      </c>
      <c r="B21" s="27" t="s">
        <v>61</v>
      </c>
      <c r="C21" s="28"/>
      <c r="D21" s="28">
        <v>881028.39</v>
      </c>
      <c r="E21" s="28">
        <v>0</v>
      </c>
      <c r="F21" s="28">
        <v>0</v>
      </c>
      <c r="G21" s="28">
        <v>65982.16</v>
      </c>
      <c r="H21" s="28"/>
      <c r="I21" s="28">
        <f t="shared" si="3"/>
        <v>947010.55</v>
      </c>
      <c r="J21" s="28">
        <v>867503.64</v>
      </c>
      <c r="K21" s="28">
        <v>0</v>
      </c>
      <c r="L21" s="28">
        <v>0</v>
      </c>
      <c r="M21" s="28">
        <v>64969.26</v>
      </c>
      <c r="N21" s="28">
        <v>0</v>
      </c>
      <c r="O21" s="29"/>
      <c r="P21" s="28">
        <f t="shared" si="4"/>
        <v>932472.9</v>
      </c>
      <c r="Q21" s="28">
        <v>870126.94</v>
      </c>
      <c r="R21" s="28">
        <v>0</v>
      </c>
      <c r="S21" s="28">
        <v>0</v>
      </c>
      <c r="T21" s="28">
        <v>65165.72</v>
      </c>
      <c r="U21" s="28">
        <v>0</v>
      </c>
      <c r="V21" s="31"/>
      <c r="W21" s="28">
        <f t="shared" si="5"/>
        <v>935292.65999999992</v>
      </c>
      <c r="X21" s="28">
        <f t="shared" si="6"/>
        <v>2814776.1100000003</v>
      </c>
      <c r="Y21" s="22">
        <v>890021.05733333342</v>
      </c>
      <c r="Z21" s="22">
        <v>0</v>
      </c>
      <c r="AA21" s="22">
        <v>0</v>
      </c>
      <c r="AB21" s="22">
        <v>66303.72</v>
      </c>
      <c r="AC21" s="22">
        <v>0</v>
      </c>
      <c r="AD21" s="22">
        <v>0</v>
      </c>
      <c r="AE21" s="30">
        <f t="shared" si="0"/>
        <v>956324.77733333339</v>
      </c>
      <c r="AF21" s="30">
        <f t="shared" si="1"/>
        <v>3771100.8873333335</v>
      </c>
      <c r="AG21" s="22">
        <v>890021.05733333342</v>
      </c>
      <c r="AH21" s="22">
        <v>0</v>
      </c>
      <c r="AI21" s="22">
        <v>0</v>
      </c>
      <c r="AJ21" s="22">
        <v>66303.72</v>
      </c>
      <c r="AK21" s="22">
        <v>0</v>
      </c>
      <c r="AL21" s="22">
        <v>0</v>
      </c>
      <c r="AM21" s="30">
        <f t="shared" si="7"/>
        <v>956324.77733333339</v>
      </c>
      <c r="AN21" s="22">
        <v>890021.05733333342</v>
      </c>
      <c r="AO21" s="22">
        <v>0</v>
      </c>
      <c r="AP21" s="22">
        <v>0</v>
      </c>
      <c r="AQ21" s="22">
        <v>66303.72</v>
      </c>
      <c r="AR21" s="22">
        <v>0</v>
      </c>
      <c r="AS21" s="22">
        <v>0</v>
      </c>
      <c r="AT21" s="30">
        <f t="shared" si="8"/>
        <v>956324.77733333339</v>
      </c>
      <c r="AU21" s="30">
        <f t="shared" si="9"/>
        <v>2868974.3320000004</v>
      </c>
      <c r="AV21" s="22">
        <v>890021.05733333342</v>
      </c>
      <c r="AW21" s="22">
        <v>0</v>
      </c>
      <c r="AX21" s="22">
        <v>0</v>
      </c>
      <c r="AY21" s="22">
        <v>66303.72</v>
      </c>
      <c r="AZ21" s="22">
        <v>0</v>
      </c>
      <c r="BA21" s="22">
        <v>0</v>
      </c>
      <c r="BB21" s="22">
        <f t="shared" si="10"/>
        <v>956324.77733333339</v>
      </c>
      <c r="BC21" s="22">
        <v>890021.05733333342</v>
      </c>
      <c r="BD21" s="22">
        <v>0</v>
      </c>
      <c r="BE21" s="22">
        <v>0</v>
      </c>
      <c r="BF21" s="22">
        <v>66303.72</v>
      </c>
      <c r="BG21" s="22">
        <v>0</v>
      </c>
      <c r="BH21" s="22">
        <f t="shared" si="11"/>
        <v>956324.77733333339</v>
      </c>
      <c r="BI21" s="22">
        <v>890021.05733333342</v>
      </c>
      <c r="BJ21" s="22">
        <v>0</v>
      </c>
      <c r="BK21" s="22">
        <v>0</v>
      </c>
      <c r="BL21" s="22">
        <v>66303.72</v>
      </c>
      <c r="BM21" s="22">
        <v>0</v>
      </c>
      <c r="BN21" s="22">
        <f t="shared" si="12"/>
        <v>956324.77733333339</v>
      </c>
      <c r="BO21" s="22">
        <f t="shared" si="13"/>
        <v>2868974.3320000004</v>
      </c>
      <c r="BP21" s="22">
        <f t="shared" si="2"/>
        <v>8552724.7740000002</v>
      </c>
      <c r="BQ21" s="22">
        <v>207205.66</v>
      </c>
      <c r="BR21" s="22">
        <v>0</v>
      </c>
      <c r="BS21" s="22">
        <v>0</v>
      </c>
      <c r="BT21" s="22">
        <v>16575.93</v>
      </c>
      <c r="BU21" s="22">
        <v>0</v>
      </c>
      <c r="BV21" s="30">
        <f t="shared" si="14"/>
        <v>223781.59</v>
      </c>
      <c r="BW21" s="22">
        <v>141451.81999999998</v>
      </c>
      <c r="BX21" s="22">
        <v>0</v>
      </c>
      <c r="BY21" s="22">
        <v>0</v>
      </c>
      <c r="BZ21" s="22">
        <v>11315.789999999997</v>
      </c>
      <c r="CA21" s="22">
        <v>0</v>
      </c>
      <c r="CB21" s="22">
        <f t="shared" si="15"/>
        <v>152767.60999999999</v>
      </c>
      <c r="CC21" s="22">
        <v>107746.94</v>
      </c>
      <c r="CD21" s="22">
        <v>0</v>
      </c>
      <c r="CE21" s="22">
        <v>0</v>
      </c>
      <c r="CF21" s="22">
        <v>8619.48</v>
      </c>
      <c r="CG21" s="22">
        <v>0</v>
      </c>
      <c r="CH21" s="30">
        <f t="shared" si="16"/>
        <v>116366.42</v>
      </c>
      <c r="CI21" s="30">
        <f t="shared" si="17"/>
        <v>492915.61999999994</v>
      </c>
      <c r="CJ21" s="30">
        <f t="shared" si="18"/>
        <v>9045640.3939999994</v>
      </c>
    </row>
    <row r="22" spans="1:89">
      <c r="A22" s="27" t="s">
        <v>62</v>
      </c>
      <c r="B22" s="27" t="s">
        <v>63</v>
      </c>
      <c r="C22" s="28"/>
      <c r="D22" s="28">
        <v>4607571.16</v>
      </c>
      <c r="E22" s="28">
        <v>0</v>
      </c>
      <c r="F22" s="28">
        <v>0</v>
      </c>
      <c r="G22" s="28">
        <v>438209.55</v>
      </c>
      <c r="H22" s="28"/>
      <c r="I22" s="28">
        <f t="shared" si="3"/>
        <v>5045780.71</v>
      </c>
      <c r="J22" s="28">
        <v>4536839.88</v>
      </c>
      <c r="K22" s="28">
        <v>0</v>
      </c>
      <c r="L22" s="28">
        <v>0</v>
      </c>
      <c r="M22" s="28">
        <v>431482.56</v>
      </c>
      <c r="N22" s="28">
        <v>0</v>
      </c>
      <c r="O22" s="29"/>
      <c r="P22" s="28">
        <f t="shared" si="4"/>
        <v>4968322.4399999995</v>
      </c>
      <c r="Q22" s="28">
        <v>4550559.0999999996</v>
      </c>
      <c r="R22" s="28">
        <v>0</v>
      </c>
      <c r="S22" s="28">
        <v>0</v>
      </c>
      <c r="T22" s="28">
        <v>432787.34</v>
      </c>
      <c r="U22" s="28">
        <v>0</v>
      </c>
      <c r="V22" s="31"/>
      <c r="W22" s="28">
        <f t="shared" si="5"/>
        <v>4983346.4399999995</v>
      </c>
      <c r="X22" s="28">
        <f t="shared" si="6"/>
        <v>14997449.589999998</v>
      </c>
      <c r="Y22" s="22">
        <v>4705337.18</v>
      </c>
      <c r="Z22" s="22">
        <v>0</v>
      </c>
      <c r="AA22" s="22">
        <v>0</v>
      </c>
      <c r="AB22" s="22">
        <v>440345.17</v>
      </c>
      <c r="AC22" s="22">
        <v>0</v>
      </c>
      <c r="AD22" s="22">
        <v>0</v>
      </c>
      <c r="AE22" s="30">
        <f t="shared" si="0"/>
        <v>5145682.3499999996</v>
      </c>
      <c r="AF22" s="30">
        <f t="shared" si="1"/>
        <v>20143131.939999998</v>
      </c>
      <c r="AG22" s="22">
        <v>4705337.18</v>
      </c>
      <c r="AH22" s="22">
        <v>0</v>
      </c>
      <c r="AI22" s="22">
        <v>0</v>
      </c>
      <c r="AJ22" s="22">
        <v>440345.17</v>
      </c>
      <c r="AK22" s="22">
        <v>0</v>
      </c>
      <c r="AL22" s="22">
        <v>0</v>
      </c>
      <c r="AM22" s="30">
        <f t="shared" si="7"/>
        <v>5145682.3499999996</v>
      </c>
      <c r="AN22" s="22">
        <v>4705337.18</v>
      </c>
      <c r="AO22" s="22">
        <v>0</v>
      </c>
      <c r="AP22" s="22">
        <v>0</v>
      </c>
      <c r="AQ22" s="22">
        <v>440345.17</v>
      </c>
      <c r="AR22" s="22">
        <v>0</v>
      </c>
      <c r="AS22" s="22">
        <v>0</v>
      </c>
      <c r="AT22" s="30">
        <f t="shared" si="8"/>
        <v>5145682.3499999996</v>
      </c>
      <c r="AU22" s="30">
        <f t="shared" si="9"/>
        <v>15437047.049999999</v>
      </c>
      <c r="AV22" s="22">
        <v>4705337.18</v>
      </c>
      <c r="AW22" s="22">
        <v>0</v>
      </c>
      <c r="AX22" s="22">
        <v>0</v>
      </c>
      <c r="AY22" s="22">
        <v>440345.17</v>
      </c>
      <c r="AZ22" s="22">
        <v>0</v>
      </c>
      <c r="BA22" s="22">
        <v>0</v>
      </c>
      <c r="BB22" s="22">
        <f t="shared" si="10"/>
        <v>5145682.3499999996</v>
      </c>
      <c r="BC22" s="22">
        <v>4705337.18</v>
      </c>
      <c r="BD22" s="22">
        <v>0</v>
      </c>
      <c r="BE22" s="22">
        <v>0</v>
      </c>
      <c r="BF22" s="22">
        <v>440345.17</v>
      </c>
      <c r="BG22" s="22">
        <v>0</v>
      </c>
      <c r="BH22" s="22">
        <f t="shared" si="11"/>
        <v>5145682.3499999996</v>
      </c>
      <c r="BI22" s="22">
        <v>4705337.18</v>
      </c>
      <c r="BJ22" s="22">
        <v>0</v>
      </c>
      <c r="BK22" s="22">
        <v>0</v>
      </c>
      <c r="BL22" s="22">
        <v>440345.17</v>
      </c>
      <c r="BM22" s="22">
        <v>0</v>
      </c>
      <c r="BN22" s="22">
        <f t="shared" si="12"/>
        <v>5145682.3499999996</v>
      </c>
      <c r="BO22" s="22">
        <f t="shared" si="13"/>
        <v>15437047.049999999</v>
      </c>
      <c r="BP22" s="22">
        <f t="shared" si="2"/>
        <v>45871543.690000005</v>
      </c>
      <c r="BQ22" s="22">
        <v>1088683.03</v>
      </c>
      <c r="BR22" s="22">
        <v>0</v>
      </c>
      <c r="BS22" s="22">
        <v>0</v>
      </c>
      <c r="BT22" s="22">
        <v>110086.29</v>
      </c>
      <c r="BU22" s="22">
        <v>0</v>
      </c>
      <c r="BV22" s="30">
        <f t="shared" si="14"/>
        <v>1198769.32</v>
      </c>
      <c r="BW22" s="22">
        <v>743204.60999999975</v>
      </c>
      <c r="BX22" s="22">
        <v>0</v>
      </c>
      <c r="BY22" s="22">
        <v>0</v>
      </c>
      <c r="BZ22" s="22">
        <v>75151.94</v>
      </c>
      <c r="CA22" s="22">
        <v>0</v>
      </c>
      <c r="CB22" s="22">
        <f t="shared" si="15"/>
        <v>818356.54999999981</v>
      </c>
      <c r="CC22" s="22">
        <v>566115.18000000005</v>
      </c>
      <c r="CD22" s="22">
        <v>0</v>
      </c>
      <c r="CE22" s="22">
        <v>0</v>
      </c>
      <c r="CF22" s="22">
        <v>57244.87</v>
      </c>
      <c r="CG22" s="22">
        <v>0</v>
      </c>
      <c r="CH22" s="30">
        <f t="shared" si="16"/>
        <v>623360.05000000005</v>
      </c>
      <c r="CI22" s="30">
        <f t="shared" si="17"/>
        <v>2640485.92</v>
      </c>
      <c r="CJ22" s="30">
        <f t="shared" si="18"/>
        <v>48512029.609999999</v>
      </c>
    </row>
    <row r="23" spans="1:89">
      <c r="A23" s="27" t="s">
        <v>64</v>
      </c>
      <c r="B23" s="27" t="s">
        <v>65</v>
      </c>
      <c r="C23" s="28"/>
      <c r="D23" s="28">
        <v>10001244.539999999</v>
      </c>
      <c r="E23" s="28">
        <v>134032.89000000001</v>
      </c>
      <c r="F23" s="28">
        <v>0</v>
      </c>
      <c r="G23" s="28">
        <v>1158125.45</v>
      </c>
      <c r="H23" s="28"/>
      <c r="I23" s="28">
        <f t="shared" si="3"/>
        <v>11293402.879999999</v>
      </c>
      <c r="J23" s="28">
        <v>9847714.4700000007</v>
      </c>
      <c r="K23" s="28">
        <v>131975.34</v>
      </c>
      <c r="L23" s="28">
        <v>0</v>
      </c>
      <c r="M23" s="28">
        <v>1140346.95</v>
      </c>
      <c r="N23" s="28">
        <v>349130.87</v>
      </c>
      <c r="O23" s="29"/>
      <c r="P23" s="28">
        <f t="shared" si="4"/>
        <v>11469167.629999999</v>
      </c>
      <c r="Q23" s="28">
        <v>9877493.5500000007</v>
      </c>
      <c r="R23" s="28">
        <v>132374.43</v>
      </c>
      <c r="S23" s="28">
        <v>0</v>
      </c>
      <c r="T23" s="28">
        <v>1143795.32</v>
      </c>
      <c r="U23" s="28">
        <v>349130.87</v>
      </c>
      <c r="V23" s="31"/>
      <c r="W23" s="28">
        <f t="shared" si="5"/>
        <v>11502794.17</v>
      </c>
      <c r="X23" s="28">
        <f t="shared" si="6"/>
        <v>34265364.68</v>
      </c>
      <c r="Y23" s="22">
        <v>9880503.3133333344</v>
      </c>
      <c r="Z23" s="22">
        <v>134686.1</v>
      </c>
      <c r="AA23" s="22">
        <v>0</v>
      </c>
      <c r="AB23" s="22">
        <v>1163769.58</v>
      </c>
      <c r="AC23" s="22">
        <v>349130.87</v>
      </c>
      <c r="AD23" s="22">
        <v>0</v>
      </c>
      <c r="AE23" s="30">
        <f t="shared" si="0"/>
        <v>11528089.863333333</v>
      </c>
      <c r="AF23" s="30">
        <f t="shared" si="1"/>
        <v>45793454.543333337</v>
      </c>
      <c r="AG23" s="22">
        <v>9880503.3133333344</v>
      </c>
      <c r="AH23" s="22">
        <v>134686.1</v>
      </c>
      <c r="AI23" s="22">
        <v>0</v>
      </c>
      <c r="AJ23" s="22">
        <v>1163769.58</v>
      </c>
      <c r="AK23" s="22">
        <v>349130.87</v>
      </c>
      <c r="AL23" s="31">
        <v>95480</v>
      </c>
      <c r="AM23" s="30">
        <f t="shared" si="7"/>
        <v>11623569.863333333</v>
      </c>
      <c r="AN23" s="22">
        <v>9880503.3133333344</v>
      </c>
      <c r="AO23" s="22">
        <v>134686.1</v>
      </c>
      <c r="AP23" s="22">
        <v>0</v>
      </c>
      <c r="AQ23" s="22">
        <v>1163769.58</v>
      </c>
      <c r="AR23" s="22">
        <v>349130.87</v>
      </c>
      <c r="AS23" s="22">
        <v>80360</v>
      </c>
      <c r="AT23" s="30">
        <f t="shared" si="8"/>
        <v>11608449.863333333</v>
      </c>
      <c r="AU23" s="30">
        <f t="shared" si="9"/>
        <v>34760109.590000004</v>
      </c>
      <c r="AV23" s="22">
        <v>9880503.3133333344</v>
      </c>
      <c r="AW23" s="22">
        <v>134686.1</v>
      </c>
      <c r="AX23" s="22">
        <v>0</v>
      </c>
      <c r="AY23" s="22">
        <v>1163769.58</v>
      </c>
      <c r="AZ23" s="22">
        <v>349130.87</v>
      </c>
      <c r="BA23" s="22">
        <v>84000</v>
      </c>
      <c r="BB23" s="22">
        <f t="shared" si="10"/>
        <v>11612089.863333333</v>
      </c>
      <c r="BC23" s="22">
        <v>9880503.3133333344</v>
      </c>
      <c r="BD23" s="22">
        <v>134686.1</v>
      </c>
      <c r="BE23" s="22">
        <v>0</v>
      </c>
      <c r="BF23" s="22">
        <v>1163769.58</v>
      </c>
      <c r="BG23" s="22">
        <v>349130.87</v>
      </c>
      <c r="BH23" s="22">
        <f t="shared" si="11"/>
        <v>11528089.863333333</v>
      </c>
      <c r="BI23" s="22">
        <v>9880503.3133333344</v>
      </c>
      <c r="BJ23" s="22">
        <v>134686.1</v>
      </c>
      <c r="BK23" s="22">
        <v>0</v>
      </c>
      <c r="BL23" s="22">
        <v>1163769.58</v>
      </c>
      <c r="BM23" s="22">
        <v>349130.87</v>
      </c>
      <c r="BN23" s="22">
        <f t="shared" si="12"/>
        <v>11528089.863333333</v>
      </c>
      <c r="BO23" s="22">
        <f t="shared" si="13"/>
        <v>34668269.590000004</v>
      </c>
      <c r="BP23" s="22">
        <f t="shared" si="2"/>
        <v>103693743.85999998</v>
      </c>
      <c r="BQ23" s="22">
        <v>2431643.5099999998</v>
      </c>
      <c r="BR23" s="22">
        <v>33671.53</v>
      </c>
      <c r="BS23" s="22">
        <v>0</v>
      </c>
      <c r="BT23" s="22">
        <v>290942.40000000002</v>
      </c>
      <c r="BU23" s="22">
        <v>87282.72</v>
      </c>
      <c r="BV23" s="30">
        <f t="shared" si="14"/>
        <v>2843540.1599999997</v>
      </c>
      <c r="BW23" s="22">
        <v>1659995.2599999998</v>
      </c>
      <c r="BX23" s="22">
        <v>22986.330000000005</v>
      </c>
      <c r="BY23" s="22">
        <v>0</v>
      </c>
      <c r="BZ23" s="22">
        <v>198615.86000000004</v>
      </c>
      <c r="CA23" s="22">
        <v>59584.759999999987</v>
      </c>
      <c r="CB23" s="22">
        <f t="shared" si="15"/>
        <v>1941182.21</v>
      </c>
      <c r="CC23" s="22">
        <v>1264454.6200000001</v>
      </c>
      <c r="CD23" s="22">
        <v>17509.189999999999</v>
      </c>
      <c r="CE23" s="22">
        <v>0</v>
      </c>
      <c r="CF23" s="22">
        <v>151290.04999999999</v>
      </c>
      <c r="CG23" s="22">
        <v>45387.01</v>
      </c>
      <c r="CH23" s="30">
        <f t="shared" si="16"/>
        <v>1478640.87</v>
      </c>
      <c r="CI23" s="30">
        <f t="shared" si="17"/>
        <v>6263363.2399999993</v>
      </c>
      <c r="CJ23" s="30">
        <f t="shared" si="18"/>
        <v>109957107.10000001</v>
      </c>
    </row>
    <row r="24" spans="1:89">
      <c r="A24" s="27" t="s">
        <v>66</v>
      </c>
      <c r="B24" s="27" t="s">
        <v>67</v>
      </c>
      <c r="C24" s="28"/>
      <c r="D24" s="28">
        <v>14478330.640000001</v>
      </c>
      <c r="E24" s="28">
        <v>113461.65</v>
      </c>
      <c r="F24" s="28">
        <v>0</v>
      </c>
      <c r="G24" s="28">
        <v>2088871.88</v>
      </c>
      <c r="H24" s="28"/>
      <c r="I24" s="28">
        <f t="shared" si="3"/>
        <v>16680664.170000002</v>
      </c>
      <c r="J24" s="28">
        <v>14256072.380000001</v>
      </c>
      <c r="K24" s="28">
        <v>111719.89</v>
      </c>
      <c r="L24" s="28">
        <v>0</v>
      </c>
      <c r="M24" s="28">
        <v>2056805.41</v>
      </c>
      <c r="N24" s="28">
        <v>0</v>
      </c>
      <c r="O24" s="29"/>
      <c r="P24" s="28">
        <f t="shared" si="4"/>
        <v>16424597.680000002</v>
      </c>
      <c r="Q24" s="28">
        <v>14299182.16</v>
      </c>
      <c r="R24" s="28">
        <v>112057.73</v>
      </c>
      <c r="S24" s="28">
        <v>0</v>
      </c>
      <c r="T24" s="28">
        <v>2063025.1</v>
      </c>
      <c r="U24" s="28">
        <v>0</v>
      </c>
      <c r="V24" s="31"/>
      <c r="W24" s="28">
        <f t="shared" si="5"/>
        <v>16474264.99</v>
      </c>
      <c r="X24" s="28">
        <f t="shared" si="6"/>
        <v>49579526.840000004</v>
      </c>
      <c r="Y24" s="22">
        <v>15561927.496266669</v>
      </c>
      <c r="Z24" s="22">
        <v>107617.17</v>
      </c>
      <c r="AA24" s="22">
        <v>0</v>
      </c>
      <c r="AB24" s="22">
        <v>2099052.0099999998</v>
      </c>
      <c r="AC24" s="22">
        <v>0</v>
      </c>
      <c r="AD24" s="22">
        <v>0</v>
      </c>
      <c r="AE24" s="30">
        <f t="shared" si="0"/>
        <v>17768596.67626667</v>
      </c>
      <c r="AF24" s="30">
        <f t="shared" si="1"/>
        <v>67348123.516266674</v>
      </c>
      <c r="AG24" s="22">
        <v>15561927.496266669</v>
      </c>
      <c r="AH24" s="22">
        <v>107617.17</v>
      </c>
      <c r="AI24" s="22">
        <v>0</v>
      </c>
      <c r="AJ24" s="22">
        <v>2099052.0099999998</v>
      </c>
      <c r="AK24" s="22">
        <v>0</v>
      </c>
      <c r="AL24" s="22">
        <v>142800</v>
      </c>
      <c r="AM24" s="30">
        <f t="shared" si="7"/>
        <v>17911396.67626667</v>
      </c>
      <c r="AN24" s="22">
        <v>15561927.496266669</v>
      </c>
      <c r="AO24" s="22">
        <v>107617.17</v>
      </c>
      <c r="AP24" s="22">
        <v>0</v>
      </c>
      <c r="AQ24" s="22">
        <v>2099052.0099999998</v>
      </c>
      <c r="AR24" s="22">
        <v>0</v>
      </c>
      <c r="AS24" s="22">
        <v>0</v>
      </c>
      <c r="AT24" s="30">
        <f t="shared" si="8"/>
        <v>17768596.67626667</v>
      </c>
      <c r="AU24" s="30">
        <f t="shared" si="9"/>
        <v>53448590.028800011</v>
      </c>
      <c r="AV24" s="22">
        <v>15561927.496266669</v>
      </c>
      <c r="AW24" s="22">
        <v>107617.17</v>
      </c>
      <c r="AX24" s="22">
        <v>0</v>
      </c>
      <c r="AY24" s="22">
        <v>2099052.0099999998</v>
      </c>
      <c r="AZ24" s="22">
        <v>0</v>
      </c>
      <c r="BA24" s="22">
        <v>0</v>
      </c>
      <c r="BB24" s="22">
        <f t="shared" si="10"/>
        <v>17768596.67626667</v>
      </c>
      <c r="BC24" s="22">
        <v>15561927.496266669</v>
      </c>
      <c r="BD24" s="22">
        <v>107617.17</v>
      </c>
      <c r="BE24" s="22">
        <v>0</v>
      </c>
      <c r="BF24" s="22">
        <v>2099052.0099999998</v>
      </c>
      <c r="BG24" s="22">
        <v>0</v>
      </c>
      <c r="BH24" s="22">
        <f t="shared" si="11"/>
        <v>17768596.67626667</v>
      </c>
      <c r="BI24" s="22">
        <v>15561927.496266669</v>
      </c>
      <c r="BJ24" s="22">
        <v>107617.17</v>
      </c>
      <c r="BK24" s="22">
        <v>0</v>
      </c>
      <c r="BL24" s="22">
        <v>2099052.0099999998</v>
      </c>
      <c r="BM24" s="22">
        <v>0</v>
      </c>
      <c r="BN24" s="22">
        <f t="shared" si="12"/>
        <v>17768596.67626667</v>
      </c>
      <c r="BO24" s="22">
        <f t="shared" si="13"/>
        <v>53305790.028800011</v>
      </c>
      <c r="BP24" s="22">
        <f t="shared" si="2"/>
        <v>156333906.89760002</v>
      </c>
      <c r="BQ24" s="22">
        <v>3875401.83</v>
      </c>
      <c r="BR24" s="22">
        <v>26904.29</v>
      </c>
      <c r="BS24" s="22">
        <v>0</v>
      </c>
      <c r="BT24" s="22">
        <v>524763</v>
      </c>
      <c r="BU24" s="22">
        <v>0</v>
      </c>
      <c r="BV24" s="30">
        <f t="shared" si="14"/>
        <v>4427069.12</v>
      </c>
      <c r="BW24" s="22">
        <v>2645596.9500000002</v>
      </c>
      <c r="BX24" s="22">
        <v>18366.59</v>
      </c>
      <c r="BY24" s="22">
        <v>0</v>
      </c>
      <c r="BZ24" s="22">
        <v>358236.77</v>
      </c>
      <c r="CA24" s="22">
        <v>0</v>
      </c>
      <c r="CB24" s="22">
        <f t="shared" si="15"/>
        <v>3022200.31</v>
      </c>
      <c r="CC24" s="22">
        <v>2015208.95</v>
      </c>
      <c r="CD24" s="22">
        <v>13990.23</v>
      </c>
      <c r="CE24" s="22">
        <v>0</v>
      </c>
      <c r="CF24" s="22">
        <v>272876.76</v>
      </c>
      <c r="CG24" s="22">
        <v>0</v>
      </c>
      <c r="CH24" s="30">
        <f t="shared" si="16"/>
        <v>2302075.94</v>
      </c>
      <c r="CI24" s="30">
        <f t="shared" si="17"/>
        <v>9751345.3699999992</v>
      </c>
      <c r="CJ24" s="30">
        <f t="shared" si="18"/>
        <v>166085252.26760003</v>
      </c>
    </row>
    <row r="25" spans="1:89">
      <c r="A25" s="27" t="s">
        <v>68</v>
      </c>
      <c r="B25" s="27" t="s">
        <v>69</v>
      </c>
      <c r="C25" s="28"/>
      <c r="D25" s="28">
        <v>1231024.9099999999</v>
      </c>
      <c r="E25" s="28">
        <v>0</v>
      </c>
      <c r="F25" s="28">
        <v>0</v>
      </c>
      <c r="G25" s="28">
        <v>256186.97</v>
      </c>
      <c r="H25" s="28"/>
      <c r="I25" s="28">
        <f t="shared" si="3"/>
        <v>1487211.88</v>
      </c>
      <c r="J25" s="28">
        <v>1212127.32</v>
      </c>
      <c r="K25" s="28">
        <v>0</v>
      </c>
      <c r="L25" s="28">
        <v>0</v>
      </c>
      <c r="M25" s="28">
        <v>252254.22</v>
      </c>
      <c r="N25" s="28">
        <v>0</v>
      </c>
      <c r="O25" s="29"/>
      <c r="P25" s="28">
        <f t="shared" si="4"/>
        <v>1464381.54</v>
      </c>
      <c r="Q25" s="28">
        <v>1215792.74</v>
      </c>
      <c r="R25" s="28">
        <v>0</v>
      </c>
      <c r="S25" s="28">
        <v>0</v>
      </c>
      <c r="T25" s="28">
        <v>253017.03</v>
      </c>
      <c r="U25" s="28">
        <v>0</v>
      </c>
      <c r="V25" s="31"/>
      <c r="W25" s="28">
        <f t="shared" si="5"/>
        <v>1468809.77</v>
      </c>
      <c r="X25" s="28">
        <f t="shared" si="6"/>
        <v>4420403.1899999995</v>
      </c>
      <c r="Y25" s="22">
        <v>1233840.0599999998</v>
      </c>
      <c r="Z25" s="22">
        <v>0</v>
      </c>
      <c r="AA25" s="22">
        <v>0</v>
      </c>
      <c r="AB25" s="22">
        <v>257435.5</v>
      </c>
      <c r="AC25" s="22">
        <v>0</v>
      </c>
      <c r="AD25" s="22">
        <v>0</v>
      </c>
      <c r="AE25" s="30">
        <f t="shared" si="0"/>
        <v>1491275.5599999998</v>
      </c>
      <c r="AF25" s="30">
        <f t="shared" si="1"/>
        <v>5911678.7499999991</v>
      </c>
      <c r="AG25" s="22">
        <v>1233840.0599999998</v>
      </c>
      <c r="AH25" s="22">
        <v>0</v>
      </c>
      <c r="AI25" s="22">
        <v>0</v>
      </c>
      <c r="AJ25" s="22">
        <v>257435.5</v>
      </c>
      <c r="AK25" s="22">
        <v>0</v>
      </c>
      <c r="AL25" s="22">
        <v>0</v>
      </c>
      <c r="AM25" s="30">
        <f t="shared" si="7"/>
        <v>1491275.5599999998</v>
      </c>
      <c r="AN25" s="22">
        <v>1233840.0599999998</v>
      </c>
      <c r="AO25" s="22">
        <v>0</v>
      </c>
      <c r="AP25" s="22">
        <v>0</v>
      </c>
      <c r="AQ25" s="22">
        <v>257435.5</v>
      </c>
      <c r="AR25" s="22">
        <v>0</v>
      </c>
      <c r="AS25" s="22">
        <v>0</v>
      </c>
      <c r="AT25" s="30">
        <f t="shared" si="8"/>
        <v>1491275.5599999998</v>
      </c>
      <c r="AU25" s="30">
        <f t="shared" si="9"/>
        <v>4473826.68</v>
      </c>
      <c r="AV25" s="22">
        <v>1233840.0599999998</v>
      </c>
      <c r="AW25" s="22">
        <v>0</v>
      </c>
      <c r="AX25" s="22">
        <v>0</v>
      </c>
      <c r="AY25" s="22">
        <v>257435.5</v>
      </c>
      <c r="AZ25" s="22">
        <v>0</v>
      </c>
      <c r="BA25" s="22">
        <v>0</v>
      </c>
      <c r="BB25" s="22">
        <f t="shared" si="10"/>
        <v>1491275.5599999998</v>
      </c>
      <c r="BC25" s="22">
        <v>1233840.0599999998</v>
      </c>
      <c r="BD25" s="22">
        <v>0</v>
      </c>
      <c r="BE25" s="22">
        <v>0</v>
      </c>
      <c r="BF25" s="22">
        <v>257435.5</v>
      </c>
      <c r="BG25" s="22">
        <v>0</v>
      </c>
      <c r="BH25" s="22">
        <f t="shared" si="11"/>
        <v>1491275.5599999998</v>
      </c>
      <c r="BI25" s="22">
        <v>1233840.0599999998</v>
      </c>
      <c r="BJ25" s="22">
        <v>0</v>
      </c>
      <c r="BK25" s="22">
        <v>0</v>
      </c>
      <c r="BL25" s="22">
        <v>257435.5</v>
      </c>
      <c r="BM25" s="22">
        <v>0</v>
      </c>
      <c r="BN25" s="22">
        <f t="shared" si="12"/>
        <v>1491275.5599999998</v>
      </c>
      <c r="BO25" s="22">
        <f t="shared" si="13"/>
        <v>4473826.68</v>
      </c>
      <c r="BP25" s="22">
        <f t="shared" si="2"/>
        <v>13368056.550000001</v>
      </c>
      <c r="BQ25" s="22">
        <v>367030.31</v>
      </c>
      <c r="BR25" s="22">
        <v>0</v>
      </c>
      <c r="BS25" s="22">
        <v>0</v>
      </c>
      <c r="BT25" s="22">
        <v>64358.879999999997</v>
      </c>
      <c r="BU25" s="22">
        <v>0</v>
      </c>
      <c r="BV25" s="30">
        <f t="shared" si="14"/>
        <v>431389.19</v>
      </c>
      <c r="BW25" s="22">
        <v>250558.34000000003</v>
      </c>
      <c r="BX25" s="22">
        <v>0</v>
      </c>
      <c r="BY25" s="22">
        <v>0</v>
      </c>
      <c r="BZ25" s="22">
        <v>43935.469999999994</v>
      </c>
      <c r="CA25" s="22">
        <v>0</v>
      </c>
      <c r="CB25" s="22">
        <f t="shared" si="15"/>
        <v>294493.81</v>
      </c>
      <c r="CC25" s="22">
        <v>190855.76</v>
      </c>
      <c r="CD25" s="22">
        <v>0</v>
      </c>
      <c r="CE25" s="22">
        <v>0</v>
      </c>
      <c r="CF25" s="22">
        <v>33466.620000000003</v>
      </c>
      <c r="CG25" s="22">
        <v>0</v>
      </c>
      <c r="CH25" s="30">
        <f t="shared" si="16"/>
        <v>224322.38</v>
      </c>
      <c r="CI25" s="30">
        <f t="shared" si="17"/>
        <v>950205.38</v>
      </c>
      <c r="CJ25" s="30">
        <f t="shared" si="18"/>
        <v>14318261.93</v>
      </c>
    </row>
    <row r="26" spans="1:89">
      <c r="A26" s="27" t="s">
        <v>70</v>
      </c>
      <c r="B26" s="27" t="s">
        <v>71</v>
      </c>
      <c r="C26" s="28"/>
      <c r="D26" s="28">
        <v>4564076.12</v>
      </c>
      <c r="E26" s="28">
        <v>47386.09</v>
      </c>
      <c r="F26" s="28">
        <v>25010.91</v>
      </c>
      <c r="G26" s="28">
        <v>1494434.68</v>
      </c>
      <c r="H26" s="28"/>
      <c r="I26" s="28">
        <f t="shared" si="3"/>
        <v>6130907.7999999998</v>
      </c>
      <c r="J26" s="28">
        <v>4494012.54</v>
      </c>
      <c r="K26" s="28">
        <v>46658.67</v>
      </c>
      <c r="L26" s="28">
        <v>24626.959999999999</v>
      </c>
      <c r="M26" s="28">
        <v>1471493.46</v>
      </c>
      <c r="N26" s="28">
        <v>0</v>
      </c>
      <c r="O26" s="29"/>
      <c r="P26" s="28">
        <f t="shared" si="4"/>
        <v>6036791.6299999999</v>
      </c>
      <c r="Q26" s="28">
        <v>4507602.25</v>
      </c>
      <c r="R26" s="28">
        <v>46799.76</v>
      </c>
      <c r="S26" s="28">
        <v>24701.439999999999</v>
      </c>
      <c r="T26" s="28">
        <v>1475943.2</v>
      </c>
      <c r="U26" s="28">
        <v>0</v>
      </c>
      <c r="V26" s="31"/>
      <c r="W26" s="28">
        <f t="shared" si="5"/>
        <v>6055046.6500000004</v>
      </c>
      <c r="X26" s="28">
        <f t="shared" si="6"/>
        <v>18222746.079999998</v>
      </c>
      <c r="Y26" s="22">
        <v>4688332.1249999991</v>
      </c>
      <c r="Z26" s="22">
        <v>47575.55</v>
      </c>
      <c r="AA26" s="22">
        <v>25132.799999999999</v>
      </c>
      <c r="AB26" s="22">
        <v>1501717.81</v>
      </c>
      <c r="AC26" s="22">
        <v>0</v>
      </c>
      <c r="AD26" s="22">
        <v>0</v>
      </c>
      <c r="AE26" s="30">
        <f t="shared" si="0"/>
        <v>6262758.2849999983</v>
      </c>
      <c r="AF26" s="30">
        <f t="shared" si="1"/>
        <v>24485504.364999995</v>
      </c>
      <c r="AG26" s="22">
        <v>4688332.1249999991</v>
      </c>
      <c r="AH26" s="22">
        <v>47575.55</v>
      </c>
      <c r="AI26" s="22">
        <v>25132.799999999999</v>
      </c>
      <c r="AJ26" s="22">
        <v>1501717.81</v>
      </c>
      <c r="AK26" s="22">
        <v>0</v>
      </c>
      <c r="AL26" s="22">
        <v>41720</v>
      </c>
      <c r="AM26" s="30">
        <f t="shared" si="7"/>
        <v>6304478.2849999983</v>
      </c>
      <c r="AN26" s="22">
        <v>4688332.1249999991</v>
      </c>
      <c r="AO26" s="22">
        <v>47575.55</v>
      </c>
      <c r="AP26" s="22">
        <v>25132.799999999999</v>
      </c>
      <c r="AQ26" s="22">
        <v>1501717.81</v>
      </c>
      <c r="AR26" s="22">
        <v>0</v>
      </c>
      <c r="AS26" s="22">
        <v>0</v>
      </c>
      <c r="AT26" s="30">
        <f t="shared" si="8"/>
        <v>6262758.2849999983</v>
      </c>
      <c r="AU26" s="30">
        <f t="shared" si="9"/>
        <v>18829994.854999997</v>
      </c>
      <c r="AV26" s="22">
        <v>4688332.1249999991</v>
      </c>
      <c r="AW26" s="22">
        <v>47575.55</v>
      </c>
      <c r="AX26" s="22">
        <v>25132.799999999999</v>
      </c>
      <c r="AY26" s="22">
        <v>1501717.81</v>
      </c>
      <c r="AZ26" s="22">
        <v>0</v>
      </c>
      <c r="BA26" s="22">
        <v>0</v>
      </c>
      <c r="BB26" s="22">
        <f t="shared" si="10"/>
        <v>6262758.2849999983</v>
      </c>
      <c r="BC26" s="22">
        <v>4688332.1249999991</v>
      </c>
      <c r="BD26" s="22">
        <v>47575.55</v>
      </c>
      <c r="BE26" s="22">
        <v>25132.799999999999</v>
      </c>
      <c r="BF26" s="22">
        <v>1501717.81</v>
      </c>
      <c r="BG26" s="22">
        <v>0</v>
      </c>
      <c r="BH26" s="22">
        <f t="shared" si="11"/>
        <v>6262758.2849999983</v>
      </c>
      <c r="BI26" s="22">
        <v>4688332.1249999991</v>
      </c>
      <c r="BJ26" s="22">
        <v>47575.55</v>
      </c>
      <c r="BK26" s="22">
        <v>25132.799999999999</v>
      </c>
      <c r="BL26" s="22">
        <v>1501717.81</v>
      </c>
      <c r="BM26" s="22">
        <v>0</v>
      </c>
      <c r="BN26" s="22">
        <f t="shared" si="12"/>
        <v>6262758.2849999983</v>
      </c>
      <c r="BO26" s="22">
        <f t="shared" si="13"/>
        <v>18788274.854999997</v>
      </c>
      <c r="BP26" s="22">
        <f t="shared" si="2"/>
        <v>55841015.789999977</v>
      </c>
      <c r="BQ26" s="22">
        <v>1156466.17</v>
      </c>
      <c r="BR26" s="22">
        <v>11893.89</v>
      </c>
      <c r="BS26" s="22">
        <v>6283.2</v>
      </c>
      <c r="BT26" s="22">
        <v>375429.45</v>
      </c>
      <c r="BU26" s="22">
        <v>0</v>
      </c>
      <c r="BV26" s="30">
        <f t="shared" si="14"/>
        <v>1550072.7099999997</v>
      </c>
      <c r="BW26" s="22">
        <v>789477.69999999984</v>
      </c>
      <c r="BX26" s="22">
        <v>8119.5300000000025</v>
      </c>
      <c r="BY26" s="22">
        <v>4289.3200000000006</v>
      </c>
      <c r="BZ26" s="22">
        <v>256292.13</v>
      </c>
      <c r="CA26" s="22">
        <v>0</v>
      </c>
      <c r="CB26" s="22">
        <f t="shared" si="15"/>
        <v>1058178.6799999997</v>
      </c>
      <c r="CC26" s="22">
        <v>601362.41</v>
      </c>
      <c r="CD26" s="22">
        <v>6184.82</v>
      </c>
      <c r="CE26" s="22">
        <v>3267.26</v>
      </c>
      <c r="CF26" s="22">
        <v>195223.32</v>
      </c>
      <c r="CG26" s="22">
        <v>0</v>
      </c>
      <c r="CH26" s="30">
        <f t="shared" si="16"/>
        <v>806037.81</v>
      </c>
      <c r="CI26" s="30">
        <f t="shared" si="17"/>
        <v>3414289.1999999997</v>
      </c>
      <c r="CJ26" s="30">
        <f t="shared" si="18"/>
        <v>59255304.989999995</v>
      </c>
    </row>
    <row r="27" spans="1:89">
      <c r="A27" s="27" t="s">
        <v>72</v>
      </c>
      <c r="B27" s="27" t="s">
        <v>73</v>
      </c>
      <c r="C27" s="28"/>
      <c r="D27" s="28">
        <v>3526112.7</v>
      </c>
      <c r="E27" s="28">
        <v>887757.96</v>
      </c>
      <c r="F27" s="28">
        <v>0</v>
      </c>
      <c r="G27" s="28">
        <v>1201080.57</v>
      </c>
      <c r="H27" s="28"/>
      <c r="I27" s="28">
        <f t="shared" si="3"/>
        <v>5614951.2300000004</v>
      </c>
      <c r="J27" s="28">
        <v>3471983.01</v>
      </c>
      <c r="K27" s="28">
        <v>874129.9</v>
      </c>
      <c r="L27" s="28">
        <v>0</v>
      </c>
      <c r="M27" s="28">
        <v>1182642.6599999999</v>
      </c>
      <c r="N27" s="28">
        <v>0</v>
      </c>
      <c r="O27" s="29"/>
      <c r="P27" s="28">
        <f t="shared" si="4"/>
        <v>5528755.5700000003</v>
      </c>
      <c r="Q27" s="28">
        <v>3482482.14</v>
      </c>
      <c r="R27" s="28">
        <v>876773.23</v>
      </c>
      <c r="S27" s="28">
        <v>0</v>
      </c>
      <c r="T27" s="28">
        <v>1186218.93</v>
      </c>
      <c r="U27" s="28">
        <v>0</v>
      </c>
      <c r="V27" s="31"/>
      <c r="W27" s="28">
        <f t="shared" si="5"/>
        <v>5545474.2999999998</v>
      </c>
      <c r="X27" s="28">
        <f t="shared" si="6"/>
        <v>16689181.100000001</v>
      </c>
      <c r="Y27" s="22">
        <v>4054325.1840000004</v>
      </c>
      <c r="Z27" s="22">
        <v>892084.45</v>
      </c>
      <c r="AA27" s="22">
        <v>0</v>
      </c>
      <c r="AB27" s="22">
        <v>1206934.04</v>
      </c>
      <c r="AC27" s="22">
        <v>0</v>
      </c>
      <c r="AD27" s="22">
        <v>21280</v>
      </c>
      <c r="AE27" s="30">
        <f t="shared" si="0"/>
        <v>6174623.6740000006</v>
      </c>
      <c r="AF27" s="30">
        <f t="shared" si="1"/>
        <v>22863804.774000004</v>
      </c>
      <c r="AG27" s="22">
        <v>4054325.1840000004</v>
      </c>
      <c r="AH27" s="22">
        <v>892084.45</v>
      </c>
      <c r="AI27" s="22">
        <v>0</v>
      </c>
      <c r="AJ27" s="22">
        <v>1206934.04</v>
      </c>
      <c r="AK27" s="22">
        <v>0</v>
      </c>
      <c r="AL27" s="22">
        <v>28560</v>
      </c>
      <c r="AM27" s="30">
        <f t="shared" si="7"/>
        <v>6181903.6740000006</v>
      </c>
      <c r="AN27" s="22">
        <v>4054325.1840000004</v>
      </c>
      <c r="AO27" s="22">
        <v>892084.45</v>
      </c>
      <c r="AP27" s="22">
        <v>0</v>
      </c>
      <c r="AQ27" s="22">
        <v>1206934.04</v>
      </c>
      <c r="AR27" s="22">
        <v>0</v>
      </c>
      <c r="AS27" s="22">
        <v>15960</v>
      </c>
      <c r="AT27" s="30">
        <f t="shared" si="8"/>
        <v>6169303.6740000006</v>
      </c>
      <c r="AU27" s="30">
        <f t="shared" si="9"/>
        <v>18525831.022</v>
      </c>
      <c r="AV27" s="22">
        <v>4054325.1840000004</v>
      </c>
      <c r="AW27" s="22">
        <v>892084.45</v>
      </c>
      <c r="AX27" s="22">
        <v>0</v>
      </c>
      <c r="AY27" s="22">
        <v>1206934.04</v>
      </c>
      <c r="AZ27" s="22">
        <f>+AY27*30%</f>
        <v>362080.212</v>
      </c>
      <c r="BA27" s="22">
        <v>17080</v>
      </c>
      <c r="BB27" s="22">
        <f t="shared" si="10"/>
        <v>6532503.8860000009</v>
      </c>
      <c r="BC27" s="22">
        <v>4054325.1840000004</v>
      </c>
      <c r="BD27" s="22">
        <v>892084.45</v>
      </c>
      <c r="BE27" s="22">
        <v>0</v>
      </c>
      <c r="BF27" s="22">
        <v>1206934.04</v>
      </c>
      <c r="BG27" s="22">
        <f>+BF27*30%</f>
        <v>362080.212</v>
      </c>
      <c r="BH27" s="22">
        <f t="shared" si="11"/>
        <v>6515423.8860000009</v>
      </c>
      <c r="BI27" s="22">
        <v>4054325.1840000004</v>
      </c>
      <c r="BJ27" s="22">
        <v>892084.45</v>
      </c>
      <c r="BK27" s="22">
        <v>0</v>
      </c>
      <c r="BL27" s="22">
        <v>1206934.04</v>
      </c>
      <c r="BM27" s="22">
        <f>+BL27*30%</f>
        <v>362080.212</v>
      </c>
      <c r="BN27" s="22">
        <f t="shared" si="12"/>
        <v>6515423.8860000009</v>
      </c>
      <c r="BO27" s="22">
        <f t="shared" si="13"/>
        <v>19563351.658000004</v>
      </c>
      <c r="BP27" s="22">
        <f t="shared" si="2"/>
        <v>54778363.780000009</v>
      </c>
      <c r="BQ27" s="22">
        <v>1006785.54</v>
      </c>
      <c r="BR27" s="22">
        <v>223021.11</v>
      </c>
      <c r="BS27" s="22">
        <v>0</v>
      </c>
      <c r="BT27" s="22">
        <v>301733.51</v>
      </c>
      <c r="BU27" s="22">
        <f>+BT27*30%</f>
        <v>90520.053</v>
      </c>
      <c r="BV27" s="30">
        <f t="shared" si="14"/>
        <v>1622060.213</v>
      </c>
      <c r="BW27" s="22">
        <v>687296.14000000013</v>
      </c>
      <c r="BX27" s="22">
        <v>152248.47000000003</v>
      </c>
      <c r="BY27" s="22">
        <v>0</v>
      </c>
      <c r="BZ27" s="22">
        <v>205982.57</v>
      </c>
      <c r="CA27" s="22">
        <f>+BZ27*30%</f>
        <v>61794.771000000001</v>
      </c>
      <c r="CB27" s="22">
        <f t="shared" si="15"/>
        <v>1107321.9510000001</v>
      </c>
      <c r="CC27" s="22">
        <v>523528.48</v>
      </c>
      <c r="CD27" s="22">
        <v>115970.98</v>
      </c>
      <c r="CE27" s="22">
        <v>0</v>
      </c>
      <c r="CF27" s="22">
        <v>156901.43</v>
      </c>
      <c r="CG27" s="22">
        <f>+CF27*30%</f>
        <v>47070.428999999996</v>
      </c>
      <c r="CH27" s="30">
        <f t="shared" si="16"/>
        <v>843471.3189999999</v>
      </c>
      <c r="CI27" s="30">
        <f t="shared" si="17"/>
        <v>3572853.483</v>
      </c>
      <c r="CJ27" s="30">
        <f t="shared" si="18"/>
        <v>58351217.263000004</v>
      </c>
    </row>
    <row r="28" spans="1:89" ht="30">
      <c r="A28" s="27" t="s">
        <v>74</v>
      </c>
      <c r="B28" s="32" t="s">
        <v>75</v>
      </c>
      <c r="C28" s="28"/>
      <c r="D28" s="28">
        <v>2551345.35</v>
      </c>
      <c r="E28" s="28">
        <v>0</v>
      </c>
      <c r="F28" s="28">
        <v>0</v>
      </c>
      <c r="G28" s="28">
        <v>0</v>
      </c>
      <c r="H28" s="28"/>
      <c r="I28" s="28">
        <f t="shared" si="3"/>
        <v>2551345.35</v>
      </c>
      <c r="J28" s="28">
        <v>2512179.4</v>
      </c>
      <c r="K28" s="28">
        <v>0</v>
      </c>
      <c r="L28" s="28">
        <v>0</v>
      </c>
      <c r="M28" s="28">
        <v>0</v>
      </c>
      <c r="N28" s="28">
        <v>0</v>
      </c>
      <c r="O28" s="29"/>
      <c r="P28" s="28">
        <f t="shared" si="4"/>
        <v>2512179.4</v>
      </c>
      <c r="Q28" s="28">
        <v>2519776.12</v>
      </c>
      <c r="R28" s="28">
        <v>0</v>
      </c>
      <c r="S28" s="28">
        <v>0</v>
      </c>
      <c r="T28" s="28">
        <v>0</v>
      </c>
      <c r="U28" s="28">
        <v>0</v>
      </c>
      <c r="V28" s="31"/>
      <c r="W28" s="28">
        <f t="shared" si="5"/>
        <v>2519776.12</v>
      </c>
      <c r="X28" s="28">
        <f t="shared" si="6"/>
        <v>7583300.8700000001</v>
      </c>
      <c r="Y28" s="22">
        <v>2745515.8410416669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30">
        <f t="shared" si="0"/>
        <v>2745515.8410416669</v>
      </c>
      <c r="AF28" s="30">
        <f t="shared" si="1"/>
        <v>10328816.711041667</v>
      </c>
      <c r="AG28" s="22">
        <v>2745515.8410416669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30">
        <f t="shared" si="7"/>
        <v>2745515.8410416669</v>
      </c>
      <c r="AN28" s="22">
        <v>2745515.8410416669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30">
        <f t="shared" si="8"/>
        <v>2745515.8410416669</v>
      </c>
      <c r="AU28" s="30">
        <f t="shared" si="9"/>
        <v>8236547.5231250003</v>
      </c>
      <c r="AV28" s="22">
        <v>2745515.8410416669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f t="shared" si="10"/>
        <v>2745515.8410416669</v>
      </c>
      <c r="BC28" s="22">
        <v>2745515.8410416669</v>
      </c>
      <c r="BD28" s="22">
        <v>0</v>
      </c>
      <c r="BE28" s="22">
        <v>0</v>
      </c>
      <c r="BF28" s="22">
        <v>0</v>
      </c>
      <c r="BG28" s="22">
        <v>0</v>
      </c>
      <c r="BH28" s="22">
        <f t="shared" si="11"/>
        <v>2745515.8410416669</v>
      </c>
      <c r="BI28" s="22">
        <v>2745515.8410416669</v>
      </c>
      <c r="BJ28" s="22">
        <v>0</v>
      </c>
      <c r="BK28" s="22">
        <v>0</v>
      </c>
      <c r="BL28" s="22">
        <v>0</v>
      </c>
      <c r="BM28" s="22">
        <v>0</v>
      </c>
      <c r="BN28" s="22">
        <f t="shared" si="12"/>
        <v>2745515.8410416669</v>
      </c>
      <c r="BO28" s="22">
        <f t="shared" si="13"/>
        <v>8236547.5231250003</v>
      </c>
      <c r="BP28" s="22">
        <f t="shared" si="2"/>
        <v>24056395.916249998</v>
      </c>
      <c r="BQ28" s="22">
        <v>680932.56</v>
      </c>
      <c r="BR28" s="22">
        <v>0</v>
      </c>
      <c r="BS28" s="22">
        <v>0</v>
      </c>
      <c r="BT28" s="22">
        <v>0</v>
      </c>
      <c r="BU28" s="22">
        <v>0</v>
      </c>
      <c r="BV28" s="30">
        <f t="shared" si="14"/>
        <v>680932.56</v>
      </c>
      <c r="BW28" s="22">
        <v>464848.07</v>
      </c>
      <c r="BX28" s="22">
        <v>0</v>
      </c>
      <c r="BY28" s="22">
        <v>0</v>
      </c>
      <c r="BZ28" s="22">
        <v>0</v>
      </c>
      <c r="CA28" s="22">
        <v>0</v>
      </c>
      <c r="CB28" s="22">
        <f t="shared" si="15"/>
        <v>464848.07</v>
      </c>
      <c r="CC28" s="22">
        <v>354084.93</v>
      </c>
      <c r="CD28" s="22">
        <v>0</v>
      </c>
      <c r="CE28" s="22">
        <v>0</v>
      </c>
      <c r="CF28" s="22">
        <v>0</v>
      </c>
      <c r="CG28" s="22">
        <v>0</v>
      </c>
      <c r="CH28" s="30">
        <f t="shared" si="16"/>
        <v>354084.93</v>
      </c>
      <c r="CI28" s="30">
        <f t="shared" si="17"/>
        <v>1499865.56</v>
      </c>
      <c r="CJ28" s="30">
        <f t="shared" si="18"/>
        <v>25556261.47625</v>
      </c>
    </row>
    <row r="29" spans="1:89" s="35" customFormat="1">
      <c r="A29" s="33" t="s">
        <v>76</v>
      </c>
      <c r="B29" s="33" t="s">
        <v>77</v>
      </c>
      <c r="C29" s="22"/>
      <c r="D29" s="22">
        <f>2642845.59+603833.83</f>
        <v>3246679.42</v>
      </c>
      <c r="E29" s="22">
        <v>0</v>
      </c>
      <c r="F29" s="22">
        <v>0</v>
      </c>
      <c r="G29" s="22">
        <v>792491.42</v>
      </c>
      <c r="H29" s="22">
        <v>122088.45</v>
      </c>
      <c r="I29" s="22">
        <f t="shared" si="3"/>
        <v>4161259.29</v>
      </c>
      <c r="J29" s="22">
        <f>2602275.01+539752.38</f>
        <v>3142027.3899999997</v>
      </c>
      <c r="K29" s="22">
        <v>0</v>
      </c>
      <c r="L29" s="22">
        <v>0</v>
      </c>
      <c r="M29" s="22">
        <v>780325.81</v>
      </c>
      <c r="N29" s="22">
        <v>0</v>
      </c>
      <c r="O29" s="22"/>
      <c r="P29" s="22">
        <f t="shared" si="4"/>
        <v>3922353.1999999997</v>
      </c>
      <c r="Q29" s="22">
        <f>2610144.18+529523.54</f>
        <v>3139667.72</v>
      </c>
      <c r="R29" s="22">
        <v>0</v>
      </c>
      <c r="S29" s="22">
        <v>0</v>
      </c>
      <c r="T29" s="22">
        <v>782685.48</v>
      </c>
      <c r="U29" s="22">
        <v>0</v>
      </c>
      <c r="V29" s="31">
        <v>67863.759999999995</v>
      </c>
      <c r="W29" s="22">
        <f t="shared" si="5"/>
        <v>3990216.96</v>
      </c>
      <c r="X29" s="22">
        <f t="shared" si="6"/>
        <v>12073829.449999999</v>
      </c>
      <c r="Y29" s="22">
        <v>3132038.3372502937</v>
      </c>
      <c r="Z29" s="22">
        <v>0</v>
      </c>
      <c r="AA29" s="22">
        <v>0</v>
      </c>
      <c r="AB29" s="22">
        <v>796353.63</v>
      </c>
      <c r="AC29" s="22">
        <v>0</v>
      </c>
      <c r="AD29" s="22">
        <v>0</v>
      </c>
      <c r="AE29" s="34">
        <f t="shared" si="0"/>
        <v>3928391.9672502936</v>
      </c>
      <c r="AF29" s="34">
        <f t="shared" si="1"/>
        <v>16002221.417250292</v>
      </c>
      <c r="AG29" s="22">
        <v>3132038.3372502937</v>
      </c>
      <c r="AH29" s="22">
        <v>0</v>
      </c>
      <c r="AI29" s="22">
        <v>0</v>
      </c>
      <c r="AJ29" s="22">
        <v>796353.63</v>
      </c>
      <c r="AK29" s="22">
        <v>0</v>
      </c>
      <c r="AL29" s="22">
        <v>109480</v>
      </c>
      <c r="AM29" s="34">
        <f t="shared" si="7"/>
        <v>4037871.9672502936</v>
      </c>
      <c r="AN29" s="22">
        <v>3132038.3372502937</v>
      </c>
      <c r="AO29" s="22">
        <v>0</v>
      </c>
      <c r="AP29" s="22">
        <v>0</v>
      </c>
      <c r="AQ29" s="22">
        <v>796353.63</v>
      </c>
      <c r="AR29" s="22">
        <v>0</v>
      </c>
      <c r="AS29" s="22">
        <v>47880</v>
      </c>
      <c r="AT29" s="34">
        <f t="shared" si="8"/>
        <v>3976271.9672502936</v>
      </c>
      <c r="AU29" s="34">
        <f t="shared" si="9"/>
        <v>11942535.901750881</v>
      </c>
      <c r="AV29" s="22">
        <v>3132038.3372502937</v>
      </c>
      <c r="AW29" s="22">
        <v>0</v>
      </c>
      <c r="AX29" s="22">
        <v>0</v>
      </c>
      <c r="AY29" s="22">
        <v>796353.63</v>
      </c>
      <c r="AZ29" s="22">
        <v>0</v>
      </c>
      <c r="BA29" s="22">
        <v>0</v>
      </c>
      <c r="BB29" s="22">
        <f t="shared" si="10"/>
        <v>3928391.9672502936</v>
      </c>
      <c r="BC29" s="22">
        <v>3132038.3372502937</v>
      </c>
      <c r="BD29" s="22">
        <v>0</v>
      </c>
      <c r="BE29" s="22">
        <v>0</v>
      </c>
      <c r="BF29" s="22">
        <v>796353.63</v>
      </c>
      <c r="BG29" s="22">
        <v>0</v>
      </c>
      <c r="BH29" s="22">
        <f t="shared" si="11"/>
        <v>3928391.9672502936</v>
      </c>
      <c r="BI29" s="22">
        <v>3132038.3372502937</v>
      </c>
      <c r="BJ29" s="22">
        <v>0</v>
      </c>
      <c r="BK29" s="22">
        <v>0</v>
      </c>
      <c r="BL29" s="22">
        <v>796353.63</v>
      </c>
      <c r="BM29" s="22">
        <v>0</v>
      </c>
      <c r="BN29" s="22">
        <f t="shared" si="12"/>
        <v>3928391.9672502936</v>
      </c>
      <c r="BO29" s="22">
        <f t="shared" si="13"/>
        <v>11785175.901750881</v>
      </c>
      <c r="BP29" s="22">
        <f t="shared" si="2"/>
        <v>35801541.253501765</v>
      </c>
      <c r="BQ29" s="22">
        <v>634237.76</v>
      </c>
      <c r="BR29" s="22">
        <v>0</v>
      </c>
      <c r="BS29" s="22">
        <v>0</v>
      </c>
      <c r="BT29" s="22">
        <v>199088.41</v>
      </c>
      <c r="BU29" s="22">
        <v>0</v>
      </c>
      <c r="BV29" s="34">
        <f t="shared" si="14"/>
        <v>833326.17</v>
      </c>
      <c r="BW29" s="22">
        <v>432971.22999999986</v>
      </c>
      <c r="BX29" s="22">
        <v>0</v>
      </c>
      <c r="BY29" s="22">
        <v>0</v>
      </c>
      <c r="BZ29" s="22">
        <v>135910.46999999997</v>
      </c>
      <c r="CA29" s="22">
        <v>0</v>
      </c>
      <c r="CB29" s="22">
        <f t="shared" si="15"/>
        <v>568881.69999999984</v>
      </c>
      <c r="CC29" s="22">
        <v>329803.64</v>
      </c>
      <c r="CD29" s="22">
        <v>0</v>
      </c>
      <c r="CE29" s="22">
        <v>0</v>
      </c>
      <c r="CF29" s="22">
        <v>103525.97</v>
      </c>
      <c r="CG29" s="22">
        <v>0</v>
      </c>
      <c r="CH29" s="34">
        <f t="shared" si="16"/>
        <v>433329.61</v>
      </c>
      <c r="CI29" s="34">
        <f t="shared" si="17"/>
        <v>1835537.48</v>
      </c>
      <c r="CJ29" s="34">
        <f t="shared" si="18"/>
        <v>37637078.733501755</v>
      </c>
      <c r="CK29" s="4"/>
    </row>
    <row r="30" spans="1:89">
      <c r="A30" s="27" t="s">
        <v>78</v>
      </c>
      <c r="B30" s="27" t="s">
        <v>79</v>
      </c>
      <c r="C30" s="28"/>
      <c r="D30" s="28">
        <v>0</v>
      </c>
      <c r="E30" s="28">
        <v>2089725.88</v>
      </c>
      <c r="F30" s="28">
        <v>0</v>
      </c>
      <c r="G30" s="28">
        <v>372189.28</v>
      </c>
      <c r="H30" s="28"/>
      <c r="I30" s="28">
        <f t="shared" si="3"/>
        <v>2461915.16</v>
      </c>
      <c r="J30" s="28">
        <v>0</v>
      </c>
      <c r="K30" s="28">
        <v>2057646.29</v>
      </c>
      <c r="L30" s="28">
        <v>0</v>
      </c>
      <c r="M30" s="28">
        <v>366475.77</v>
      </c>
      <c r="N30" s="28">
        <v>0</v>
      </c>
      <c r="O30" s="29"/>
      <c r="P30" s="28">
        <f t="shared" si="4"/>
        <v>2424122.06</v>
      </c>
      <c r="Q30" s="28">
        <v>0</v>
      </c>
      <c r="R30" s="28">
        <v>2063868.52</v>
      </c>
      <c r="S30" s="28">
        <v>0</v>
      </c>
      <c r="T30" s="28">
        <v>367583.98</v>
      </c>
      <c r="U30" s="28">
        <v>0</v>
      </c>
      <c r="V30" s="31"/>
      <c r="W30" s="28">
        <f t="shared" si="5"/>
        <v>2431452.5</v>
      </c>
      <c r="X30" s="28">
        <f t="shared" si="6"/>
        <v>7317489.7200000007</v>
      </c>
      <c r="Y30" s="22">
        <v>0</v>
      </c>
      <c r="Z30" s="22">
        <f>2099971.54-82000</f>
        <v>2017971.54</v>
      </c>
      <c r="AA30" s="22">
        <v>0</v>
      </c>
      <c r="AB30" s="22">
        <f>374003.15+82000</f>
        <v>456003.15</v>
      </c>
      <c r="AC30" s="22">
        <v>0</v>
      </c>
      <c r="AD30" s="22">
        <v>0</v>
      </c>
      <c r="AE30" s="30">
        <f t="shared" si="0"/>
        <v>2473974.69</v>
      </c>
      <c r="AF30" s="30">
        <f t="shared" si="1"/>
        <v>9791464.4100000001</v>
      </c>
      <c r="AG30" s="22">
        <v>0</v>
      </c>
      <c r="AH30" s="22">
        <v>1974971.54</v>
      </c>
      <c r="AI30" s="22">
        <v>0</v>
      </c>
      <c r="AJ30" s="22">
        <v>499003.15</v>
      </c>
      <c r="AK30" s="22">
        <v>0</v>
      </c>
      <c r="AL30" s="22">
        <v>0</v>
      </c>
      <c r="AM30" s="30">
        <f t="shared" si="7"/>
        <v>2473974.69</v>
      </c>
      <c r="AN30" s="22">
        <v>0</v>
      </c>
      <c r="AO30" s="22">
        <f>2099971.54-62000</f>
        <v>2037971.54</v>
      </c>
      <c r="AP30" s="22">
        <v>0</v>
      </c>
      <c r="AQ30" s="22">
        <f>374003.15+62000</f>
        <v>436003.15</v>
      </c>
      <c r="AR30" s="22">
        <v>0</v>
      </c>
      <c r="AS30" s="22">
        <v>0</v>
      </c>
      <c r="AT30" s="30">
        <f t="shared" si="8"/>
        <v>2473974.69</v>
      </c>
      <c r="AU30" s="30">
        <f t="shared" si="9"/>
        <v>7421924.0700000003</v>
      </c>
      <c r="AV30" s="22">
        <v>0</v>
      </c>
      <c r="AW30" s="22">
        <v>2099971.54</v>
      </c>
      <c r="AX30" s="22">
        <v>0</v>
      </c>
      <c r="AY30" s="22">
        <v>374003.15</v>
      </c>
      <c r="AZ30" s="22">
        <v>0</v>
      </c>
      <c r="BA30" s="22">
        <v>0</v>
      </c>
      <c r="BB30" s="22">
        <f t="shared" si="10"/>
        <v>2473974.69</v>
      </c>
      <c r="BC30" s="22">
        <v>0</v>
      </c>
      <c r="BD30" s="22">
        <v>2099971.54</v>
      </c>
      <c r="BE30" s="22">
        <v>0</v>
      </c>
      <c r="BF30" s="22">
        <v>374003.15</v>
      </c>
      <c r="BG30" s="22">
        <v>0</v>
      </c>
      <c r="BH30" s="22">
        <f t="shared" si="11"/>
        <v>2473974.69</v>
      </c>
      <c r="BI30" s="22">
        <v>0</v>
      </c>
      <c r="BJ30" s="22">
        <v>2099971.54</v>
      </c>
      <c r="BK30" s="22">
        <v>0</v>
      </c>
      <c r="BL30" s="22">
        <v>374003.15</v>
      </c>
      <c r="BM30" s="22">
        <v>0</v>
      </c>
      <c r="BN30" s="22">
        <f t="shared" si="12"/>
        <v>2473974.69</v>
      </c>
      <c r="BO30" s="22">
        <f t="shared" si="13"/>
        <v>7421924.0700000003</v>
      </c>
      <c r="BP30" s="22">
        <f t="shared" si="2"/>
        <v>22161337.860000003</v>
      </c>
      <c r="BQ30" s="22">
        <v>0</v>
      </c>
      <c r="BR30" s="22">
        <v>524992.89</v>
      </c>
      <c r="BS30" s="22">
        <v>0</v>
      </c>
      <c r="BT30" s="22">
        <v>93500.79</v>
      </c>
      <c r="BU30" s="22">
        <v>0</v>
      </c>
      <c r="BV30" s="30">
        <f t="shared" si="14"/>
        <v>618493.68000000005</v>
      </c>
      <c r="BW30" s="22">
        <v>0</v>
      </c>
      <c r="BX30" s="22">
        <v>358393.68999999989</v>
      </c>
      <c r="BY30" s="22">
        <v>0</v>
      </c>
      <c r="BZ30" s="22">
        <v>63829.61</v>
      </c>
      <c r="CA30" s="22">
        <v>0</v>
      </c>
      <c r="CB30" s="22">
        <f t="shared" si="15"/>
        <v>422223.29999999987</v>
      </c>
      <c r="CC30" s="22">
        <v>0</v>
      </c>
      <c r="CD30" s="22">
        <v>272996.3</v>
      </c>
      <c r="CE30" s="22">
        <v>0</v>
      </c>
      <c r="CF30" s="22">
        <v>48620.41</v>
      </c>
      <c r="CG30" s="22">
        <v>0</v>
      </c>
      <c r="CH30" s="30">
        <f t="shared" si="16"/>
        <v>321616.70999999996</v>
      </c>
      <c r="CI30" s="30">
        <f t="shared" si="17"/>
        <v>1362333.69</v>
      </c>
      <c r="CJ30" s="30">
        <f t="shared" si="18"/>
        <v>23523671.550000001</v>
      </c>
    </row>
    <row r="31" spans="1:89">
      <c r="A31" s="27" t="s">
        <v>80</v>
      </c>
      <c r="B31" s="27" t="s">
        <v>81</v>
      </c>
      <c r="C31" s="28"/>
      <c r="D31" s="28">
        <f>5981008.36+1210969.56</f>
        <v>7191977.9199999999</v>
      </c>
      <c r="E31" s="28">
        <v>304746.40000000002</v>
      </c>
      <c r="F31" s="28">
        <v>0</v>
      </c>
      <c r="G31" s="28">
        <v>556077.59</v>
      </c>
      <c r="H31" s="28"/>
      <c r="I31" s="28">
        <f t="shared" si="3"/>
        <v>8052801.9100000001</v>
      </c>
      <c r="J31" s="28">
        <f>5889193.32+1164830.9</f>
        <v>7054024.2200000007</v>
      </c>
      <c r="K31" s="28">
        <v>300068.21000000002</v>
      </c>
      <c r="L31" s="28">
        <v>0</v>
      </c>
      <c r="M31" s="28">
        <v>547541.18999999994</v>
      </c>
      <c r="N31" s="28">
        <v>167636.29</v>
      </c>
      <c r="O31" s="29"/>
      <c r="P31" s="28">
        <f t="shared" si="4"/>
        <v>8069269.9100000011</v>
      </c>
      <c r="Q31" s="28">
        <f>5907002+1144459.09</f>
        <v>7051461.0899999999</v>
      </c>
      <c r="R31" s="28">
        <v>300975.59999999998</v>
      </c>
      <c r="S31" s="28">
        <v>0</v>
      </c>
      <c r="T31" s="28">
        <v>549196.93000000005</v>
      </c>
      <c r="U31" s="28">
        <v>167636.29</v>
      </c>
      <c r="V31" s="31"/>
      <c r="W31" s="28">
        <f t="shared" si="5"/>
        <v>8069269.9099999992</v>
      </c>
      <c r="X31" s="28">
        <f t="shared" si="6"/>
        <v>24191341.73</v>
      </c>
      <c r="Y31" s="22">
        <v>7044281.5146666663</v>
      </c>
      <c r="Z31" s="22">
        <v>306231.58</v>
      </c>
      <c r="AA31" s="22">
        <v>0</v>
      </c>
      <c r="AB31" s="22">
        <v>558787.64</v>
      </c>
      <c r="AC31" s="22">
        <v>167636.29</v>
      </c>
      <c r="AD31" s="22">
        <v>0</v>
      </c>
      <c r="AE31" s="30">
        <f t="shared" si="0"/>
        <v>8076937.0246666661</v>
      </c>
      <c r="AF31" s="30">
        <f t="shared" si="1"/>
        <v>32268278.754666667</v>
      </c>
      <c r="AG31" s="22">
        <v>7044281.5146666663</v>
      </c>
      <c r="AH31" s="22">
        <v>306231.58</v>
      </c>
      <c r="AI31" s="22">
        <v>0</v>
      </c>
      <c r="AJ31" s="22">
        <v>558787.64</v>
      </c>
      <c r="AK31" s="22">
        <v>167636.29</v>
      </c>
      <c r="AL31" s="22">
        <v>0</v>
      </c>
      <c r="AM31" s="30">
        <f t="shared" si="7"/>
        <v>8076937.0246666661</v>
      </c>
      <c r="AN31" s="22">
        <v>7044281.5146666663</v>
      </c>
      <c r="AO31" s="22">
        <v>306231.58</v>
      </c>
      <c r="AP31" s="22">
        <v>0</v>
      </c>
      <c r="AQ31" s="22">
        <v>558787.64</v>
      </c>
      <c r="AR31" s="22">
        <v>167636.29</v>
      </c>
      <c r="AS31" s="22">
        <v>0</v>
      </c>
      <c r="AT31" s="30">
        <f t="shared" si="8"/>
        <v>8076937.0246666661</v>
      </c>
      <c r="AU31" s="30">
        <f t="shared" si="9"/>
        <v>24230811.073999997</v>
      </c>
      <c r="AV31" s="22">
        <v>7044281.5146666663</v>
      </c>
      <c r="AW31" s="22">
        <v>306231.58</v>
      </c>
      <c r="AX31" s="22">
        <v>0</v>
      </c>
      <c r="AY31" s="22">
        <v>558787.64</v>
      </c>
      <c r="AZ31" s="22">
        <v>167636.29</v>
      </c>
      <c r="BA31" s="22">
        <v>0</v>
      </c>
      <c r="BB31" s="22">
        <f t="shared" si="10"/>
        <v>8076937.0246666661</v>
      </c>
      <c r="BC31" s="22">
        <v>7044281.5146666663</v>
      </c>
      <c r="BD31" s="22">
        <v>306231.58</v>
      </c>
      <c r="BE31" s="22">
        <v>0</v>
      </c>
      <c r="BF31" s="22">
        <v>558787.64</v>
      </c>
      <c r="BG31" s="22">
        <v>167636.29</v>
      </c>
      <c r="BH31" s="22">
        <f t="shared" si="11"/>
        <v>8076937.0246666661</v>
      </c>
      <c r="BI31" s="22">
        <v>7044281.5146666663</v>
      </c>
      <c r="BJ31" s="22">
        <v>306231.58</v>
      </c>
      <c r="BK31" s="22">
        <v>0</v>
      </c>
      <c r="BL31" s="22">
        <v>558787.64</v>
      </c>
      <c r="BM31" s="22">
        <v>167636.29</v>
      </c>
      <c r="BN31" s="22">
        <f t="shared" si="12"/>
        <v>8076937.0246666661</v>
      </c>
      <c r="BO31" s="22">
        <f t="shared" si="13"/>
        <v>24230811.073999997</v>
      </c>
      <c r="BP31" s="22">
        <f t="shared" si="2"/>
        <v>72652963.877999991</v>
      </c>
      <c r="BQ31" s="22">
        <v>1153257.1200000001</v>
      </c>
      <c r="BR31" s="22">
        <v>76557.899999999994</v>
      </c>
      <c r="BS31" s="22">
        <v>0</v>
      </c>
      <c r="BT31" s="22">
        <v>139696.91</v>
      </c>
      <c r="BU31" s="22">
        <v>41909.07</v>
      </c>
      <c r="BV31" s="30">
        <f t="shared" si="14"/>
        <v>1411421</v>
      </c>
      <c r="BW31" s="22">
        <v>787287.01</v>
      </c>
      <c r="BX31" s="22">
        <v>52263.3</v>
      </c>
      <c r="BY31" s="22">
        <v>0</v>
      </c>
      <c r="BZ31" s="22">
        <v>95366.040000000023</v>
      </c>
      <c r="CA31" s="22">
        <v>28609.810000000005</v>
      </c>
      <c r="CB31" s="22">
        <f t="shared" si="15"/>
        <v>963526.16000000015</v>
      </c>
      <c r="CC31" s="22">
        <v>599693.69999999995</v>
      </c>
      <c r="CD31" s="22">
        <v>39810.11</v>
      </c>
      <c r="CE31" s="22">
        <v>0</v>
      </c>
      <c r="CF31" s="22">
        <v>72642.39</v>
      </c>
      <c r="CG31" s="22">
        <v>21792.720000000001</v>
      </c>
      <c r="CH31" s="30">
        <f t="shared" si="16"/>
        <v>733938.91999999993</v>
      </c>
      <c r="CI31" s="30">
        <f t="shared" si="17"/>
        <v>3108886.08</v>
      </c>
      <c r="CJ31" s="30">
        <f t="shared" si="18"/>
        <v>75761849.957999989</v>
      </c>
    </row>
    <row r="32" spans="1:89">
      <c r="A32" s="27" t="s">
        <v>82</v>
      </c>
      <c r="B32" s="27" t="s">
        <v>83</v>
      </c>
      <c r="C32" s="28"/>
      <c r="D32" s="28">
        <v>0</v>
      </c>
      <c r="E32" s="28">
        <v>1288076.69</v>
      </c>
      <c r="F32" s="28">
        <v>375163.64</v>
      </c>
      <c r="G32" s="28">
        <v>76158.240000000005</v>
      </c>
      <c r="H32" s="28"/>
      <c r="I32" s="28">
        <f t="shared" si="3"/>
        <v>1739398.57</v>
      </c>
      <c r="J32" s="28">
        <v>0</v>
      </c>
      <c r="K32" s="28">
        <v>1268303.3</v>
      </c>
      <c r="L32" s="28">
        <v>369404.47</v>
      </c>
      <c r="M32" s="28">
        <v>74989.13</v>
      </c>
      <c r="N32" s="28">
        <v>0</v>
      </c>
      <c r="O32" s="29"/>
      <c r="P32" s="28">
        <f t="shared" si="4"/>
        <v>1712696.9</v>
      </c>
      <c r="Q32" s="28">
        <v>0</v>
      </c>
      <c r="R32" s="28">
        <v>1272138.6000000001</v>
      </c>
      <c r="S32" s="28">
        <v>370521.53</v>
      </c>
      <c r="T32" s="28">
        <v>75215.89</v>
      </c>
      <c r="U32" s="28">
        <v>0</v>
      </c>
      <c r="V32" s="31"/>
      <c r="W32" s="28">
        <f t="shared" si="5"/>
        <v>1717876.02</v>
      </c>
      <c r="X32" s="28">
        <f t="shared" si="6"/>
        <v>5169971.49</v>
      </c>
      <c r="Y32" s="22">
        <v>0</v>
      </c>
      <c r="Z32" s="22">
        <v>1294453.82</v>
      </c>
      <c r="AA32" s="22">
        <v>376992</v>
      </c>
      <c r="AB32" s="22">
        <v>76529.399999999994</v>
      </c>
      <c r="AC32" s="22">
        <v>0</v>
      </c>
      <c r="AD32" s="22">
        <v>8680</v>
      </c>
      <c r="AE32" s="30">
        <f t="shared" si="0"/>
        <v>1756655.22</v>
      </c>
      <c r="AF32" s="30">
        <f t="shared" si="1"/>
        <v>6926626.71</v>
      </c>
      <c r="AG32" s="22">
        <v>0</v>
      </c>
      <c r="AH32" s="22">
        <v>1294453.82</v>
      </c>
      <c r="AI32" s="22">
        <v>376992</v>
      </c>
      <c r="AJ32" s="22">
        <v>76529.399999999994</v>
      </c>
      <c r="AK32" s="22">
        <v>0</v>
      </c>
      <c r="AL32" s="22">
        <v>42840</v>
      </c>
      <c r="AM32" s="30">
        <f t="shared" si="7"/>
        <v>1790815.22</v>
      </c>
      <c r="AN32" s="22">
        <v>0</v>
      </c>
      <c r="AO32" s="22">
        <v>1294453.82</v>
      </c>
      <c r="AP32" s="22">
        <v>376992</v>
      </c>
      <c r="AQ32" s="22">
        <v>76529.399999999994</v>
      </c>
      <c r="AR32" s="22">
        <v>0</v>
      </c>
      <c r="AS32" s="22">
        <v>35840</v>
      </c>
      <c r="AT32" s="30">
        <f t="shared" si="8"/>
        <v>1783815.22</v>
      </c>
      <c r="AU32" s="30">
        <f t="shared" si="9"/>
        <v>5331285.66</v>
      </c>
      <c r="AV32" s="22">
        <v>0</v>
      </c>
      <c r="AW32" s="22">
        <v>1294453.82</v>
      </c>
      <c r="AX32" s="22">
        <v>376992</v>
      </c>
      <c r="AY32" s="22">
        <v>76529.399999999994</v>
      </c>
      <c r="AZ32" s="22">
        <v>0</v>
      </c>
      <c r="BA32" s="22">
        <v>0</v>
      </c>
      <c r="BB32" s="22">
        <f t="shared" si="10"/>
        <v>1747975.22</v>
      </c>
      <c r="BC32" s="22">
        <v>0</v>
      </c>
      <c r="BD32" s="22">
        <v>1294453.82</v>
      </c>
      <c r="BE32" s="22">
        <v>376992</v>
      </c>
      <c r="BF32" s="22">
        <v>76529.399999999994</v>
      </c>
      <c r="BG32" s="22">
        <v>0</v>
      </c>
      <c r="BH32" s="22">
        <f t="shared" si="11"/>
        <v>1747975.22</v>
      </c>
      <c r="BI32" s="22">
        <v>0</v>
      </c>
      <c r="BJ32" s="22">
        <v>1294453.82</v>
      </c>
      <c r="BK32" s="22">
        <v>376992</v>
      </c>
      <c r="BL32" s="22">
        <v>76529.399999999994</v>
      </c>
      <c r="BM32" s="22">
        <v>0</v>
      </c>
      <c r="BN32" s="22">
        <f t="shared" si="12"/>
        <v>1747975.22</v>
      </c>
      <c r="BO32" s="22">
        <f t="shared" si="13"/>
        <v>5243925.66</v>
      </c>
      <c r="BP32" s="22">
        <f t="shared" si="2"/>
        <v>15745182.810000002</v>
      </c>
      <c r="BQ32" s="22">
        <v>0</v>
      </c>
      <c r="BR32" s="22">
        <v>323613.46000000002</v>
      </c>
      <c r="BS32" s="22">
        <v>94248</v>
      </c>
      <c r="BT32" s="22">
        <v>19132.349999999999</v>
      </c>
      <c r="BU32" s="22">
        <v>0</v>
      </c>
      <c r="BV32" s="30">
        <f t="shared" si="14"/>
        <v>436993.81</v>
      </c>
      <c r="BW32" s="22">
        <v>0</v>
      </c>
      <c r="BX32" s="22">
        <v>220919.22000000003</v>
      </c>
      <c r="BY32" s="22">
        <v>64339.710000000014</v>
      </c>
      <c r="BZ32" s="22">
        <v>13060.970000000001</v>
      </c>
      <c r="CA32" s="22">
        <v>0</v>
      </c>
      <c r="CB32" s="22">
        <f t="shared" si="15"/>
        <v>298319.90000000002</v>
      </c>
      <c r="CC32" s="22">
        <v>0</v>
      </c>
      <c r="CD32" s="22">
        <v>168279</v>
      </c>
      <c r="CE32" s="22">
        <v>49008.959999999999</v>
      </c>
      <c r="CF32" s="22">
        <v>9948.82</v>
      </c>
      <c r="CG32" s="22">
        <v>0</v>
      </c>
      <c r="CH32" s="30">
        <f t="shared" si="16"/>
        <v>227236.78</v>
      </c>
      <c r="CI32" s="30">
        <f t="shared" si="17"/>
        <v>962550.49</v>
      </c>
      <c r="CJ32" s="30">
        <f t="shared" si="18"/>
        <v>16707733.300000001</v>
      </c>
    </row>
    <row r="33" spans="1:88" s="4" customFormat="1">
      <c r="A33" s="27" t="s">
        <v>84</v>
      </c>
      <c r="B33" s="27" t="s">
        <v>85</v>
      </c>
      <c r="C33" s="28"/>
      <c r="D33" s="28">
        <f>4733083.76+303650.03</f>
        <v>5036733.79</v>
      </c>
      <c r="E33" s="28">
        <v>0</v>
      </c>
      <c r="F33" s="28">
        <v>0</v>
      </c>
      <c r="G33" s="28">
        <v>246198.41</v>
      </c>
      <c r="H33" s="28"/>
      <c r="I33" s="28">
        <f t="shared" si="3"/>
        <v>5282932.2</v>
      </c>
      <c r="J33" s="28">
        <f>4660425.72+1115640.23</f>
        <v>5776065.9499999993</v>
      </c>
      <c r="K33" s="28">
        <v>0</v>
      </c>
      <c r="L33" s="28">
        <v>0</v>
      </c>
      <c r="M33" s="28">
        <v>242419</v>
      </c>
      <c r="N33" s="28">
        <v>0</v>
      </c>
      <c r="O33" s="29"/>
      <c r="P33" s="28">
        <f t="shared" si="4"/>
        <v>6018484.9499999993</v>
      </c>
      <c r="Q33" s="28">
        <f>4674518.66+1115640.23</f>
        <v>5790158.8900000006</v>
      </c>
      <c r="R33" s="28">
        <v>0</v>
      </c>
      <c r="S33" s="28">
        <v>0</v>
      </c>
      <c r="T33" s="28">
        <v>243152.06</v>
      </c>
      <c r="U33" s="28">
        <v>0</v>
      </c>
      <c r="V33" s="31"/>
      <c r="W33" s="28">
        <f t="shared" si="5"/>
        <v>6033310.9500000002</v>
      </c>
      <c r="X33" s="28">
        <f t="shared" si="6"/>
        <v>17334728.099999998</v>
      </c>
      <c r="Y33" s="22">
        <v>5450913.0600000005</v>
      </c>
      <c r="Z33" s="22">
        <v>0</v>
      </c>
      <c r="AA33" s="22">
        <v>0</v>
      </c>
      <c r="AB33" s="22">
        <v>247398.26</v>
      </c>
      <c r="AC33" s="22">
        <v>0</v>
      </c>
      <c r="AD33" s="22">
        <v>0</v>
      </c>
      <c r="AE33" s="30">
        <f t="shared" si="0"/>
        <v>5698311.3200000003</v>
      </c>
      <c r="AF33" s="30">
        <f t="shared" si="1"/>
        <v>23033039.419999998</v>
      </c>
      <c r="AG33" s="22">
        <v>5450913.0600000005</v>
      </c>
      <c r="AH33" s="22">
        <v>0</v>
      </c>
      <c r="AI33" s="22">
        <v>0</v>
      </c>
      <c r="AJ33" s="22">
        <v>247398.26</v>
      </c>
      <c r="AK33" s="22">
        <v>0</v>
      </c>
      <c r="AL33" s="22">
        <v>0</v>
      </c>
      <c r="AM33" s="30">
        <f t="shared" si="7"/>
        <v>5698311.3200000003</v>
      </c>
      <c r="AN33" s="22">
        <v>5450913.0600000005</v>
      </c>
      <c r="AO33" s="22">
        <v>0</v>
      </c>
      <c r="AP33" s="22">
        <v>0</v>
      </c>
      <c r="AQ33" s="22">
        <v>247398.26</v>
      </c>
      <c r="AR33" s="22">
        <v>0</v>
      </c>
      <c r="AS33" s="22">
        <v>0</v>
      </c>
      <c r="AT33" s="30">
        <f t="shared" si="8"/>
        <v>5698311.3200000003</v>
      </c>
      <c r="AU33" s="30">
        <f t="shared" si="9"/>
        <v>17094933.960000001</v>
      </c>
      <c r="AV33" s="22">
        <v>5450913.0600000005</v>
      </c>
      <c r="AW33" s="22">
        <v>0</v>
      </c>
      <c r="AX33" s="22">
        <v>0</v>
      </c>
      <c r="AY33" s="22">
        <v>247398.26</v>
      </c>
      <c r="AZ33" s="22">
        <v>0</v>
      </c>
      <c r="BA33" s="22">
        <v>0</v>
      </c>
      <c r="BB33" s="22">
        <f t="shared" si="10"/>
        <v>5698311.3200000003</v>
      </c>
      <c r="BC33" s="22">
        <v>5450913.0600000005</v>
      </c>
      <c r="BD33" s="22">
        <v>0</v>
      </c>
      <c r="BE33" s="22">
        <v>0</v>
      </c>
      <c r="BF33" s="22">
        <v>247398.26</v>
      </c>
      <c r="BG33" s="22">
        <v>0</v>
      </c>
      <c r="BH33" s="22">
        <f t="shared" si="11"/>
        <v>5698311.3200000003</v>
      </c>
      <c r="BI33" s="22">
        <v>5450913.0600000005</v>
      </c>
      <c r="BJ33" s="22">
        <v>0</v>
      </c>
      <c r="BK33" s="22">
        <v>0</v>
      </c>
      <c r="BL33" s="22">
        <v>247398.26</v>
      </c>
      <c r="BM33" s="22">
        <v>0</v>
      </c>
      <c r="BN33" s="22">
        <f t="shared" si="12"/>
        <v>5698311.3200000003</v>
      </c>
      <c r="BO33" s="22">
        <f t="shared" si="13"/>
        <v>17094933.960000001</v>
      </c>
      <c r="BP33" s="22">
        <f t="shared" si="2"/>
        <v>51524596.020000003</v>
      </c>
      <c r="BQ33" s="22">
        <v>1185627.5900000001</v>
      </c>
      <c r="BR33" s="22">
        <v>0</v>
      </c>
      <c r="BS33" s="22">
        <v>0</v>
      </c>
      <c r="BT33" s="22">
        <v>61849.57</v>
      </c>
      <c r="BU33" s="22">
        <v>0</v>
      </c>
      <c r="BV33" s="30">
        <f t="shared" si="14"/>
        <v>1247477.1600000001</v>
      </c>
      <c r="BW33" s="22">
        <v>809385.16999999981</v>
      </c>
      <c r="BX33" s="22">
        <v>0</v>
      </c>
      <c r="BY33" s="22">
        <v>0</v>
      </c>
      <c r="BZ33" s="22">
        <v>42222.459999999977</v>
      </c>
      <c r="CA33" s="22">
        <v>0</v>
      </c>
      <c r="CB33" s="22">
        <f t="shared" si="15"/>
        <v>851607.62999999977</v>
      </c>
      <c r="CC33" s="22">
        <v>616526.35</v>
      </c>
      <c r="CD33" s="22">
        <v>0</v>
      </c>
      <c r="CE33" s="22">
        <v>0</v>
      </c>
      <c r="CF33" s="22">
        <v>32161.77</v>
      </c>
      <c r="CG33" s="22">
        <v>0</v>
      </c>
      <c r="CH33" s="30">
        <f t="shared" si="16"/>
        <v>648688.12</v>
      </c>
      <c r="CI33" s="30">
        <f t="shared" si="17"/>
        <v>2747772.91</v>
      </c>
      <c r="CJ33" s="30">
        <f t="shared" si="18"/>
        <v>54272368.930000007</v>
      </c>
    </row>
    <row r="34" spans="1:88" s="4" customFormat="1">
      <c r="A34" s="27" t="s">
        <v>86</v>
      </c>
      <c r="B34" s="27" t="s">
        <v>87</v>
      </c>
      <c r="C34" s="28">
        <f>10367749.35-10006214.02</f>
        <v>361535.33000000007</v>
      </c>
      <c r="D34" s="28">
        <f>7477585.38+1762549.64</f>
        <v>9240135.0199999996</v>
      </c>
      <c r="E34" s="28">
        <v>857167.93</v>
      </c>
      <c r="F34" s="28">
        <v>0</v>
      </c>
      <c r="G34" s="28">
        <v>187924.53</v>
      </c>
      <c r="H34" s="28"/>
      <c r="I34" s="28">
        <f t="shared" si="3"/>
        <v>10285227.479999999</v>
      </c>
      <c r="J34" s="28">
        <f>7362796.25+854470.66</f>
        <v>8217266.9100000001</v>
      </c>
      <c r="K34" s="28">
        <v>844009.46</v>
      </c>
      <c r="L34" s="28">
        <v>0</v>
      </c>
      <c r="M34" s="28">
        <v>185039.68</v>
      </c>
      <c r="N34" s="28">
        <v>0</v>
      </c>
      <c r="O34" s="29"/>
      <c r="P34" s="28">
        <f t="shared" si="4"/>
        <v>9246316.0500000007</v>
      </c>
      <c r="Q34" s="28">
        <f>7385061.04+829094.07</f>
        <v>8214155.1100000003</v>
      </c>
      <c r="R34" s="28">
        <v>846561.71</v>
      </c>
      <c r="S34" s="28">
        <v>0</v>
      </c>
      <c r="T34" s="28">
        <v>185599.23</v>
      </c>
      <c r="U34" s="28">
        <v>0</v>
      </c>
      <c r="V34" s="31"/>
      <c r="W34" s="28">
        <f t="shared" si="5"/>
        <v>9246316.0500000007</v>
      </c>
      <c r="X34" s="28">
        <f t="shared" si="6"/>
        <v>29139394.91</v>
      </c>
      <c r="Y34" s="22">
        <v>9205107.8399999999</v>
      </c>
      <c r="Z34" s="22">
        <v>861345.33</v>
      </c>
      <c r="AA34" s="22">
        <v>0</v>
      </c>
      <c r="AB34" s="22">
        <v>188840.38</v>
      </c>
      <c r="AC34" s="22">
        <v>0</v>
      </c>
      <c r="AD34" s="22">
        <v>0</v>
      </c>
      <c r="AE34" s="30">
        <f t="shared" si="0"/>
        <v>10255293.550000001</v>
      </c>
      <c r="AF34" s="30">
        <f t="shared" si="1"/>
        <v>39394688.460000001</v>
      </c>
      <c r="AG34" s="22">
        <v>9205107.8399999999</v>
      </c>
      <c r="AH34" s="22">
        <v>861345.33</v>
      </c>
      <c r="AI34" s="22">
        <v>0</v>
      </c>
      <c r="AJ34" s="22">
        <v>188840.38</v>
      </c>
      <c r="AK34" s="22">
        <v>0</v>
      </c>
      <c r="AL34" s="22">
        <v>0</v>
      </c>
      <c r="AM34" s="30">
        <f t="shared" si="7"/>
        <v>10255293.550000001</v>
      </c>
      <c r="AN34" s="22">
        <v>9205107.8399999999</v>
      </c>
      <c r="AO34" s="22">
        <v>861345.33</v>
      </c>
      <c r="AP34" s="22">
        <v>0</v>
      </c>
      <c r="AQ34" s="22">
        <v>188840.38</v>
      </c>
      <c r="AR34" s="22">
        <v>0</v>
      </c>
      <c r="AS34" s="22">
        <v>0</v>
      </c>
      <c r="AT34" s="30">
        <f t="shared" si="8"/>
        <v>10255293.550000001</v>
      </c>
      <c r="AU34" s="30">
        <f t="shared" si="9"/>
        <v>30765880.650000002</v>
      </c>
      <c r="AV34" s="22">
        <v>9205107.8399999999</v>
      </c>
      <c r="AW34" s="22">
        <v>861345.33</v>
      </c>
      <c r="AX34" s="22">
        <v>0</v>
      </c>
      <c r="AY34" s="22">
        <v>188840.38</v>
      </c>
      <c r="AZ34" s="22">
        <v>0</v>
      </c>
      <c r="BA34" s="22">
        <v>0</v>
      </c>
      <c r="BB34" s="22">
        <f t="shared" si="10"/>
        <v>10255293.550000001</v>
      </c>
      <c r="BC34" s="22">
        <v>9205107.8399999999</v>
      </c>
      <c r="BD34" s="22">
        <v>861345.33</v>
      </c>
      <c r="BE34" s="22">
        <v>0</v>
      </c>
      <c r="BF34" s="22">
        <v>188840.38</v>
      </c>
      <c r="BG34" s="22">
        <v>0</v>
      </c>
      <c r="BH34" s="22">
        <f t="shared" si="11"/>
        <v>10255293.550000001</v>
      </c>
      <c r="BI34" s="22">
        <v>9205107.8399999999</v>
      </c>
      <c r="BJ34" s="22">
        <v>861345.33</v>
      </c>
      <c r="BK34" s="22">
        <v>0</v>
      </c>
      <c r="BL34" s="22">
        <v>188840.38</v>
      </c>
      <c r="BM34" s="22">
        <v>0</v>
      </c>
      <c r="BN34" s="22">
        <f t="shared" si="12"/>
        <v>10255293.550000001</v>
      </c>
      <c r="BO34" s="22">
        <f t="shared" si="13"/>
        <v>30765880.650000002</v>
      </c>
      <c r="BP34" s="22">
        <f t="shared" si="2"/>
        <v>90671156.209999993</v>
      </c>
      <c r="BQ34" s="22">
        <v>2069450.21</v>
      </c>
      <c r="BR34" s="22">
        <v>215336.33</v>
      </c>
      <c r="BS34" s="22">
        <v>0</v>
      </c>
      <c r="BT34" s="22">
        <v>47210.1</v>
      </c>
      <c r="BU34" s="22">
        <v>0</v>
      </c>
      <c r="BV34" s="30">
        <f t="shared" si="14"/>
        <v>2331996.64</v>
      </c>
      <c r="BW34" s="22">
        <v>1412738.9600000002</v>
      </c>
      <c r="BX34" s="22">
        <v>147002.35000000003</v>
      </c>
      <c r="BY34" s="22">
        <v>0</v>
      </c>
      <c r="BZ34" s="22">
        <v>32228.620000000003</v>
      </c>
      <c r="CA34" s="22">
        <v>0</v>
      </c>
      <c r="CB34" s="22">
        <f t="shared" si="15"/>
        <v>1591969.9300000004</v>
      </c>
      <c r="CC34" s="22">
        <v>1076114.1100000001</v>
      </c>
      <c r="CD34" s="22">
        <v>111974.89</v>
      </c>
      <c r="CE34" s="22">
        <v>0</v>
      </c>
      <c r="CF34" s="22">
        <v>24549.25</v>
      </c>
      <c r="CG34" s="22">
        <v>0</v>
      </c>
      <c r="CH34" s="30">
        <f t="shared" si="16"/>
        <v>1212638.25</v>
      </c>
      <c r="CI34" s="30">
        <f t="shared" si="17"/>
        <v>5136604.82</v>
      </c>
      <c r="CJ34" s="30">
        <f t="shared" si="18"/>
        <v>95807761.030000001</v>
      </c>
    </row>
    <row r="35" spans="1:88" s="4" customFormat="1">
      <c r="A35" s="27" t="s">
        <v>88</v>
      </c>
      <c r="B35" s="27" t="s">
        <v>89</v>
      </c>
      <c r="C35" s="28">
        <f>3074973.03-2672299.16</f>
        <v>402673.86999999965</v>
      </c>
      <c r="D35" s="28">
        <f>2036036.4+479916.32</f>
        <v>2515952.7199999997</v>
      </c>
      <c r="E35" s="28">
        <v>74113.509999999995</v>
      </c>
      <c r="F35" s="28">
        <v>0</v>
      </c>
      <c r="G35" s="28">
        <v>99783.76</v>
      </c>
      <c r="H35" s="28"/>
      <c r="I35" s="28">
        <f t="shared" si="3"/>
        <v>2689849.9899999993</v>
      </c>
      <c r="J35" s="28">
        <f>2004781+479916.32</f>
        <v>2484697.3199999998</v>
      </c>
      <c r="K35" s="28">
        <v>72975.78</v>
      </c>
      <c r="L35" s="28">
        <v>0</v>
      </c>
      <c r="M35" s="28">
        <v>98251.97</v>
      </c>
      <c r="N35" s="28">
        <v>0</v>
      </c>
      <c r="O35" s="29"/>
      <c r="P35" s="28">
        <f t="shared" si="4"/>
        <v>2655925.0699999998</v>
      </c>
      <c r="Q35" s="28">
        <f>2010843.38+479916.32</f>
        <v>2490759.6999999997</v>
      </c>
      <c r="R35" s="28">
        <v>73196.460000000006</v>
      </c>
      <c r="S35" s="28">
        <v>0</v>
      </c>
      <c r="T35" s="28">
        <v>98549.08</v>
      </c>
      <c r="U35" s="28">
        <v>0</v>
      </c>
      <c r="V35" s="31">
        <v>177275.77</v>
      </c>
      <c r="W35" s="28">
        <f t="shared" si="5"/>
        <v>2839781.01</v>
      </c>
      <c r="X35" s="28">
        <f t="shared" si="6"/>
        <v>8588229.9399999976</v>
      </c>
      <c r="Y35" s="22">
        <v>2736501.39</v>
      </c>
      <c r="Z35" s="22">
        <v>74380.23</v>
      </c>
      <c r="AA35" s="22">
        <v>0</v>
      </c>
      <c r="AB35" s="22">
        <v>100270.06</v>
      </c>
      <c r="AC35" s="22">
        <v>0</v>
      </c>
      <c r="AD35" s="22">
        <v>0</v>
      </c>
      <c r="AE35" s="30">
        <f t="shared" si="0"/>
        <v>2911151.68</v>
      </c>
      <c r="AF35" s="30">
        <f t="shared" si="1"/>
        <v>11499381.619999997</v>
      </c>
      <c r="AG35" s="22">
        <v>2736501.39</v>
      </c>
      <c r="AH35" s="22">
        <v>74380.23</v>
      </c>
      <c r="AI35" s="22">
        <v>0</v>
      </c>
      <c r="AJ35" s="22">
        <v>100270.06</v>
      </c>
      <c r="AK35" s="22">
        <v>0</v>
      </c>
      <c r="AL35" s="22">
        <v>0</v>
      </c>
      <c r="AM35" s="30">
        <f t="shared" si="7"/>
        <v>2911151.68</v>
      </c>
      <c r="AN35" s="22">
        <v>2736501.39</v>
      </c>
      <c r="AO35" s="22">
        <v>74380.23</v>
      </c>
      <c r="AP35" s="22">
        <v>0</v>
      </c>
      <c r="AQ35" s="22">
        <v>100270.06</v>
      </c>
      <c r="AR35" s="22">
        <v>0</v>
      </c>
      <c r="AS35" s="22">
        <v>0</v>
      </c>
      <c r="AT35" s="30">
        <f t="shared" si="8"/>
        <v>2911151.68</v>
      </c>
      <c r="AU35" s="30">
        <f t="shared" si="9"/>
        <v>8733455.040000001</v>
      </c>
      <c r="AV35" s="22">
        <v>2736501.39</v>
      </c>
      <c r="AW35" s="22">
        <v>74380.23</v>
      </c>
      <c r="AX35" s="22">
        <v>0</v>
      </c>
      <c r="AY35" s="22">
        <v>100270.06</v>
      </c>
      <c r="AZ35" s="22">
        <v>0</v>
      </c>
      <c r="BA35" s="22">
        <v>0</v>
      </c>
      <c r="BB35" s="22">
        <f t="shared" si="10"/>
        <v>2911151.68</v>
      </c>
      <c r="BC35" s="22">
        <v>2736501.39</v>
      </c>
      <c r="BD35" s="22">
        <v>74380.23</v>
      </c>
      <c r="BE35" s="22">
        <v>0</v>
      </c>
      <c r="BF35" s="22">
        <v>100270.06</v>
      </c>
      <c r="BG35" s="22">
        <v>0</v>
      </c>
      <c r="BH35" s="22">
        <f t="shared" si="11"/>
        <v>2911151.68</v>
      </c>
      <c r="BI35" s="22">
        <v>2736501.39</v>
      </c>
      <c r="BJ35" s="22">
        <v>74380.23</v>
      </c>
      <c r="BK35" s="22">
        <v>0</v>
      </c>
      <c r="BL35" s="22">
        <v>100270.06</v>
      </c>
      <c r="BM35" s="22">
        <v>0</v>
      </c>
      <c r="BN35" s="22">
        <f t="shared" si="12"/>
        <v>2911151.68</v>
      </c>
      <c r="BO35" s="22">
        <f t="shared" si="13"/>
        <v>8733455.040000001</v>
      </c>
      <c r="BP35" s="22">
        <f t="shared" si="2"/>
        <v>26055140.019999996</v>
      </c>
      <c r="BQ35" s="22">
        <v>592467.21</v>
      </c>
      <c r="BR35" s="22">
        <v>18595.060000000001</v>
      </c>
      <c r="BS35" s="22">
        <v>0</v>
      </c>
      <c r="BT35" s="22">
        <v>25067.52</v>
      </c>
      <c r="BU35" s="22">
        <v>0</v>
      </c>
      <c r="BV35" s="30">
        <f t="shared" si="14"/>
        <v>636129.79</v>
      </c>
      <c r="BW35" s="22">
        <v>404455.97999999992</v>
      </c>
      <c r="BX35" s="22">
        <v>12694.170000000002</v>
      </c>
      <c r="BY35" s="22">
        <v>0</v>
      </c>
      <c r="BZ35" s="22">
        <v>17112.679999999997</v>
      </c>
      <c r="CA35" s="22">
        <v>0</v>
      </c>
      <c r="CB35" s="22">
        <f t="shared" si="15"/>
        <v>434262.8299999999</v>
      </c>
      <c r="CC35" s="22">
        <v>308082.95</v>
      </c>
      <c r="CD35" s="22">
        <v>9669.43</v>
      </c>
      <c r="CE35" s="22">
        <v>0</v>
      </c>
      <c r="CF35" s="22">
        <v>13035.11</v>
      </c>
      <c r="CG35" s="22">
        <v>0</v>
      </c>
      <c r="CH35" s="30">
        <f t="shared" si="16"/>
        <v>330787.49</v>
      </c>
      <c r="CI35" s="30">
        <f t="shared" si="17"/>
        <v>1401180.1099999999</v>
      </c>
      <c r="CJ35" s="30">
        <f t="shared" si="18"/>
        <v>27456320.129999995</v>
      </c>
    </row>
    <row r="36" spans="1:88" s="4" customFormat="1">
      <c r="A36" s="27" t="s">
        <v>90</v>
      </c>
      <c r="B36" s="27" t="s">
        <v>91</v>
      </c>
      <c r="C36" s="28">
        <f>4870960-3799664.12</f>
        <v>1071295.8799999999</v>
      </c>
      <c r="D36" s="28">
        <f>1601426.95+377474.06</f>
        <v>1978901.01</v>
      </c>
      <c r="E36" s="28">
        <v>1162567.82</v>
      </c>
      <c r="F36" s="28">
        <v>31263.64</v>
      </c>
      <c r="G36" s="28">
        <v>610334.48</v>
      </c>
      <c r="H36" s="28">
        <v>713173.04999999981</v>
      </c>
      <c r="I36" s="28">
        <f t="shared" si="3"/>
        <v>4496240</v>
      </c>
      <c r="J36" s="28">
        <f>1576843.29+377474.06</f>
        <v>1954317.35</v>
      </c>
      <c r="K36" s="28">
        <v>1144721.1299999999</v>
      </c>
      <c r="L36" s="28">
        <v>30783.71</v>
      </c>
      <c r="M36" s="28">
        <v>600965.18000000005</v>
      </c>
      <c r="N36" s="28">
        <v>183992.68</v>
      </c>
      <c r="O36" s="29">
        <f>4645147-3914780.05</f>
        <v>730366.95000000019</v>
      </c>
      <c r="P36" s="28">
        <f t="shared" si="4"/>
        <v>4645147</v>
      </c>
      <c r="Q36" s="28">
        <f>1581611.6+377474.06</f>
        <v>1959085.6600000001</v>
      </c>
      <c r="R36" s="28">
        <v>1148182.72</v>
      </c>
      <c r="S36" s="28">
        <v>30876.79</v>
      </c>
      <c r="T36" s="28">
        <v>602782.47</v>
      </c>
      <c r="U36" s="28">
        <v>183992.68</v>
      </c>
      <c r="V36" s="31">
        <v>575619.68000000005</v>
      </c>
      <c r="W36" s="28">
        <f t="shared" si="5"/>
        <v>4500540</v>
      </c>
      <c r="X36" s="28">
        <f t="shared" si="6"/>
        <v>14713222.879999999</v>
      </c>
      <c r="Y36" s="22">
        <v>2104911.9300000002</v>
      </c>
      <c r="Z36" s="22">
        <v>1183725.33</v>
      </c>
      <c r="AA36" s="22">
        <v>31416</v>
      </c>
      <c r="AB36" s="22">
        <f>613308.95+172071.55</f>
        <v>785380.5</v>
      </c>
      <c r="AC36" s="22">
        <f>183992.68-172071.55</f>
        <v>11921.130000000005</v>
      </c>
      <c r="AD36" s="22">
        <v>2520</v>
      </c>
      <c r="AE36" s="30">
        <f t="shared" si="0"/>
        <v>4119874.89</v>
      </c>
      <c r="AF36" s="30">
        <f t="shared" si="1"/>
        <v>18833097.77</v>
      </c>
      <c r="AG36" s="22">
        <v>2104911.9300000002</v>
      </c>
      <c r="AH36" s="22">
        <v>1183725.33</v>
      </c>
      <c r="AI36" s="22">
        <v>31416</v>
      </c>
      <c r="AJ36" s="22">
        <f>613308.95+177631.06</f>
        <v>790940.01</v>
      </c>
      <c r="AK36" s="22">
        <f>183992.68-177631.06</f>
        <v>6361.6199999999953</v>
      </c>
      <c r="AL36" s="22">
        <v>0</v>
      </c>
      <c r="AM36" s="30">
        <f t="shared" si="7"/>
        <v>4117354.8900000006</v>
      </c>
      <c r="AN36" s="22">
        <v>2104911.9300000002</v>
      </c>
      <c r="AO36" s="22">
        <v>1183725.33</v>
      </c>
      <c r="AP36" s="22">
        <v>31416</v>
      </c>
      <c r="AQ36" s="22">
        <f>613308.95+177149.39</f>
        <v>790458.34</v>
      </c>
      <c r="AR36" s="22">
        <f>183992.68-177149.39</f>
        <v>6843.289999999979</v>
      </c>
      <c r="AS36" s="22">
        <v>560</v>
      </c>
      <c r="AT36" s="30">
        <f t="shared" si="8"/>
        <v>4117914.89</v>
      </c>
      <c r="AU36" s="30">
        <f t="shared" si="9"/>
        <v>12355144.670000002</v>
      </c>
      <c r="AV36" s="22">
        <v>2104911.9300000002</v>
      </c>
      <c r="AW36" s="22">
        <v>1183725.33</v>
      </c>
      <c r="AX36" s="22">
        <v>31416</v>
      </c>
      <c r="AY36" s="22">
        <v>613308.94999999995</v>
      </c>
      <c r="AZ36" s="22">
        <v>183992.68</v>
      </c>
      <c r="BA36" s="22">
        <v>0</v>
      </c>
      <c r="BB36" s="22">
        <f t="shared" si="10"/>
        <v>4117354.89</v>
      </c>
      <c r="BC36" s="22">
        <v>2104911.9300000002</v>
      </c>
      <c r="BD36" s="22">
        <v>1183725.33</v>
      </c>
      <c r="BE36" s="22">
        <v>31416</v>
      </c>
      <c r="BF36" s="22">
        <v>613308.94999999995</v>
      </c>
      <c r="BG36" s="22">
        <v>183992.68</v>
      </c>
      <c r="BH36" s="22">
        <f t="shared" si="11"/>
        <v>4117354.89</v>
      </c>
      <c r="BI36" s="22">
        <v>2104911.9300000002</v>
      </c>
      <c r="BJ36" s="22">
        <v>1183725.33</v>
      </c>
      <c r="BK36" s="22">
        <v>31416</v>
      </c>
      <c r="BL36" s="22">
        <v>613308.94999999995</v>
      </c>
      <c r="BM36" s="22">
        <v>183992.68</v>
      </c>
      <c r="BN36" s="22">
        <f t="shared" si="12"/>
        <v>4117354.89</v>
      </c>
      <c r="BO36" s="22">
        <f t="shared" si="13"/>
        <v>12352064.67</v>
      </c>
      <c r="BP36" s="22">
        <f t="shared" si="2"/>
        <v>39420432.219999999</v>
      </c>
      <c r="BQ36" s="22">
        <v>426244.67</v>
      </c>
      <c r="BR36" s="22">
        <v>295931.33</v>
      </c>
      <c r="BS36" s="22">
        <v>7854</v>
      </c>
      <c r="BT36" s="22">
        <v>153327.24</v>
      </c>
      <c r="BU36" s="22">
        <v>45998.17</v>
      </c>
      <c r="BV36" s="30">
        <f t="shared" si="14"/>
        <v>929355.41</v>
      </c>
      <c r="BW36" s="22">
        <v>290981.83999999997</v>
      </c>
      <c r="BX36" s="22">
        <v>202021.65</v>
      </c>
      <c r="BY36" s="22">
        <v>5361.6400000000012</v>
      </c>
      <c r="BZ36" s="22">
        <v>104670.97</v>
      </c>
      <c r="CA36" s="22">
        <v>31401.289999999997</v>
      </c>
      <c r="CB36" s="22">
        <f t="shared" si="15"/>
        <v>634437.39</v>
      </c>
      <c r="CC36" s="22">
        <v>221647.23</v>
      </c>
      <c r="CD36" s="22">
        <v>153884.29</v>
      </c>
      <c r="CE36" s="22">
        <v>4084.08</v>
      </c>
      <c r="CF36" s="22">
        <v>79730.16</v>
      </c>
      <c r="CG36" s="22">
        <v>23919.05</v>
      </c>
      <c r="CH36" s="30">
        <f t="shared" si="16"/>
        <v>483264.81</v>
      </c>
      <c r="CI36" s="30">
        <f t="shared" si="17"/>
        <v>2047057.61</v>
      </c>
      <c r="CJ36" s="30">
        <f t="shared" si="18"/>
        <v>41467489.829999998</v>
      </c>
    </row>
    <row r="37" spans="1:88" s="4" customFormat="1">
      <c r="A37" s="27" t="s">
        <v>92</v>
      </c>
      <c r="B37" s="27" t="s">
        <v>93</v>
      </c>
      <c r="C37" s="28"/>
      <c r="D37" s="28">
        <f>1579769.67+396867.17</f>
        <v>1976636.8399999999</v>
      </c>
      <c r="E37" s="28">
        <v>0</v>
      </c>
      <c r="F37" s="28">
        <v>0</v>
      </c>
      <c r="G37" s="28">
        <v>616516.48</v>
      </c>
      <c r="H37" s="28"/>
      <c r="I37" s="28">
        <f t="shared" si="3"/>
        <v>2593153.3199999998</v>
      </c>
      <c r="J37" s="28">
        <f>1555518.47+396867.17</f>
        <v>1952385.64</v>
      </c>
      <c r="K37" s="28">
        <v>0</v>
      </c>
      <c r="L37" s="28">
        <v>0</v>
      </c>
      <c r="M37" s="28">
        <v>607052.28</v>
      </c>
      <c r="N37" s="28">
        <v>0</v>
      </c>
      <c r="O37" s="29"/>
      <c r="P37" s="28">
        <f t="shared" si="4"/>
        <v>2559437.92</v>
      </c>
      <c r="Q37" s="28">
        <f>1560222.29+396867.17</f>
        <v>1957089.46</v>
      </c>
      <c r="R37" s="28">
        <v>0</v>
      </c>
      <c r="S37" s="28">
        <v>0</v>
      </c>
      <c r="T37" s="28">
        <v>608887.98</v>
      </c>
      <c r="U37" s="28">
        <v>0</v>
      </c>
      <c r="V37" s="31"/>
      <c r="W37" s="28">
        <f t="shared" si="5"/>
        <v>2565977.44</v>
      </c>
      <c r="X37" s="28">
        <f t="shared" si="6"/>
        <v>7718568.6799999997</v>
      </c>
      <c r="Y37" s="22">
        <v>1959266.4202333333</v>
      </c>
      <c r="Z37" s="22">
        <v>0</v>
      </c>
      <c r="AA37" s="22">
        <v>0</v>
      </c>
      <c r="AB37" s="22">
        <v>619521.07999999996</v>
      </c>
      <c r="AC37" s="22">
        <v>0</v>
      </c>
      <c r="AD37" s="22">
        <v>0</v>
      </c>
      <c r="AE37" s="30">
        <f t="shared" si="0"/>
        <v>2578787.5002333331</v>
      </c>
      <c r="AF37" s="30">
        <f t="shared" si="1"/>
        <v>10297356.180233333</v>
      </c>
      <c r="AG37" s="22">
        <v>1959266.4202333333</v>
      </c>
      <c r="AH37" s="22">
        <v>0</v>
      </c>
      <c r="AI37" s="22">
        <v>0</v>
      </c>
      <c r="AJ37" s="22">
        <v>619521.07999999996</v>
      </c>
      <c r="AK37" s="22">
        <v>0</v>
      </c>
      <c r="AL37" s="22">
        <v>168000</v>
      </c>
      <c r="AM37" s="30">
        <f t="shared" si="7"/>
        <v>2746787.5002333331</v>
      </c>
      <c r="AN37" s="22">
        <v>1959266.4202333333</v>
      </c>
      <c r="AO37" s="22">
        <v>0</v>
      </c>
      <c r="AP37" s="22">
        <v>0</v>
      </c>
      <c r="AQ37" s="22">
        <v>695154.13</v>
      </c>
      <c r="AR37" s="22">
        <v>0</v>
      </c>
      <c r="AS37" s="22">
        <v>0</v>
      </c>
      <c r="AT37" s="30">
        <f t="shared" si="8"/>
        <v>2654420.5502333334</v>
      </c>
      <c r="AU37" s="30">
        <f t="shared" si="9"/>
        <v>7979995.5506999996</v>
      </c>
      <c r="AV37" s="22">
        <v>1959266.4202333333</v>
      </c>
      <c r="AW37" s="22">
        <v>0</v>
      </c>
      <c r="AX37" s="22">
        <v>0</v>
      </c>
      <c r="AY37" s="22">
        <v>619521.07999999996</v>
      </c>
      <c r="AZ37" s="22">
        <v>0</v>
      </c>
      <c r="BA37" s="22">
        <v>0</v>
      </c>
      <c r="BB37" s="22">
        <f t="shared" si="10"/>
        <v>2578787.5002333331</v>
      </c>
      <c r="BC37" s="22">
        <v>1959266.4202333333</v>
      </c>
      <c r="BD37" s="22">
        <v>0</v>
      </c>
      <c r="BE37" s="22">
        <v>0</v>
      </c>
      <c r="BF37" s="22">
        <v>619521.07999999996</v>
      </c>
      <c r="BG37" s="22">
        <v>0</v>
      </c>
      <c r="BH37" s="22">
        <f t="shared" si="11"/>
        <v>2578787.5002333331</v>
      </c>
      <c r="BI37" s="22">
        <v>1959266.4202333333</v>
      </c>
      <c r="BJ37" s="22">
        <v>0</v>
      </c>
      <c r="BK37" s="22">
        <v>0</v>
      </c>
      <c r="BL37" s="22">
        <v>619521.07999999996</v>
      </c>
      <c r="BM37" s="22">
        <v>0</v>
      </c>
      <c r="BN37" s="22">
        <f t="shared" si="12"/>
        <v>2578787.5002333331</v>
      </c>
      <c r="BO37" s="22">
        <f t="shared" si="13"/>
        <v>7736362.5006999988</v>
      </c>
      <c r="BP37" s="22">
        <f t="shared" si="2"/>
        <v>23434926.731400002</v>
      </c>
      <c r="BQ37" s="22">
        <v>487695.05</v>
      </c>
      <c r="BR37" s="22">
        <v>0</v>
      </c>
      <c r="BS37" s="22">
        <v>0</v>
      </c>
      <c r="BT37" s="22">
        <v>154880.26999999999</v>
      </c>
      <c r="BU37" s="22">
        <v>0</v>
      </c>
      <c r="BV37" s="30">
        <f t="shared" si="14"/>
        <v>642575.31999999995</v>
      </c>
      <c r="BW37" s="22">
        <v>332931.81</v>
      </c>
      <c r="BX37" s="22">
        <v>0</v>
      </c>
      <c r="BY37" s="22">
        <v>0</v>
      </c>
      <c r="BZ37" s="22">
        <v>105731.17</v>
      </c>
      <c r="CA37" s="22">
        <v>0</v>
      </c>
      <c r="CB37" s="22">
        <f t="shared" si="15"/>
        <v>438662.98</v>
      </c>
      <c r="CC37" s="22">
        <v>253601.43</v>
      </c>
      <c r="CD37" s="22">
        <v>0</v>
      </c>
      <c r="CE37" s="22">
        <v>0</v>
      </c>
      <c r="CF37" s="22">
        <v>80537.740000000005</v>
      </c>
      <c r="CG37" s="22">
        <v>0</v>
      </c>
      <c r="CH37" s="30">
        <f t="shared" si="16"/>
        <v>334139.17</v>
      </c>
      <c r="CI37" s="30">
        <f t="shared" si="17"/>
        <v>1415377.4699999997</v>
      </c>
      <c r="CJ37" s="30">
        <f t="shared" si="18"/>
        <v>24850304.201399997</v>
      </c>
    </row>
    <row r="38" spans="1:88" s="4" customFormat="1">
      <c r="A38" s="27" t="s">
        <v>94</v>
      </c>
      <c r="B38" s="27" t="s">
        <v>95</v>
      </c>
      <c r="C38" s="28"/>
      <c r="D38" s="28">
        <v>1770530.18</v>
      </c>
      <c r="E38" s="28">
        <v>475369.28</v>
      </c>
      <c r="F38" s="28">
        <v>0</v>
      </c>
      <c r="G38" s="28">
        <v>342205.75</v>
      </c>
      <c r="H38" s="28"/>
      <c r="I38" s="28">
        <f t="shared" si="3"/>
        <v>2588105.21</v>
      </c>
      <c r="J38" s="28">
        <v>1743350.6</v>
      </c>
      <c r="K38" s="28">
        <v>468071.84</v>
      </c>
      <c r="L38" s="28">
        <v>0</v>
      </c>
      <c r="M38" s="28">
        <v>336952.51</v>
      </c>
      <c r="N38" s="28">
        <v>0</v>
      </c>
      <c r="O38" s="29"/>
      <c r="P38" s="28">
        <f t="shared" si="4"/>
        <v>2548374.9500000002</v>
      </c>
      <c r="Q38" s="28">
        <v>1748622.42</v>
      </c>
      <c r="R38" s="28">
        <v>469487.26</v>
      </c>
      <c r="S38" s="28">
        <v>0</v>
      </c>
      <c r="T38" s="28">
        <v>337971.45</v>
      </c>
      <c r="U38" s="28">
        <v>0</v>
      </c>
      <c r="V38" s="31"/>
      <c r="W38" s="28">
        <f t="shared" si="5"/>
        <v>2556081.13</v>
      </c>
      <c r="X38" s="28">
        <f t="shared" si="6"/>
        <v>7692561.29</v>
      </c>
      <c r="Y38" s="22">
        <v>1922068.08</v>
      </c>
      <c r="Z38" s="22">
        <v>477968.52</v>
      </c>
      <c r="AA38" s="22">
        <v>0</v>
      </c>
      <c r="AB38" s="22">
        <v>343873.49</v>
      </c>
      <c r="AC38" s="22">
        <v>0</v>
      </c>
      <c r="AD38" s="22">
        <v>0</v>
      </c>
      <c r="AE38" s="30">
        <f t="shared" si="0"/>
        <v>2743910.09</v>
      </c>
      <c r="AF38" s="30">
        <f t="shared" si="1"/>
        <v>10436471.379999999</v>
      </c>
      <c r="AG38" s="22">
        <v>1922068.08</v>
      </c>
      <c r="AH38" s="22">
        <v>477968.52</v>
      </c>
      <c r="AI38" s="22">
        <v>0</v>
      </c>
      <c r="AJ38" s="22">
        <v>343873.49</v>
      </c>
      <c r="AK38" s="22">
        <v>0</v>
      </c>
      <c r="AL38" s="22">
        <v>0</v>
      </c>
      <c r="AM38" s="30">
        <f t="shared" si="7"/>
        <v>2743910.09</v>
      </c>
      <c r="AN38" s="22">
        <v>1922068.08</v>
      </c>
      <c r="AO38" s="22">
        <v>477968.52</v>
      </c>
      <c r="AP38" s="22">
        <v>0</v>
      </c>
      <c r="AQ38" s="22">
        <v>389564.37</v>
      </c>
      <c r="AR38" s="22">
        <v>0</v>
      </c>
      <c r="AS38" s="22">
        <v>0</v>
      </c>
      <c r="AT38" s="30">
        <f t="shared" si="8"/>
        <v>2789600.97</v>
      </c>
      <c r="AU38" s="30">
        <f t="shared" si="9"/>
        <v>8277421.1500000004</v>
      </c>
      <c r="AV38" s="22">
        <v>1922068.08</v>
      </c>
      <c r="AW38" s="22">
        <v>477968.52</v>
      </c>
      <c r="AX38" s="22">
        <v>0</v>
      </c>
      <c r="AY38" s="22">
        <v>343873.49</v>
      </c>
      <c r="AZ38" s="22">
        <v>0</v>
      </c>
      <c r="BA38" s="22">
        <v>0</v>
      </c>
      <c r="BB38" s="22">
        <f t="shared" si="10"/>
        <v>2743910.09</v>
      </c>
      <c r="BC38" s="22">
        <v>1922068.08</v>
      </c>
      <c r="BD38" s="22">
        <v>477968.52</v>
      </c>
      <c r="BE38" s="22">
        <v>0</v>
      </c>
      <c r="BF38" s="22">
        <v>343873.49</v>
      </c>
      <c r="BG38" s="22">
        <v>0</v>
      </c>
      <c r="BH38" s="22">
        <f t="shared" si="11"/>
        <v>2743910.09</v>
      </c>
      <c r="BI38" s="22">
        <v>1922068.08</v>
      </c>
      <c r="BJ38" s="22">
        <v>477968.52</v>
      </c>
      <c r="BK38" s="22">
        <v>0</v>
      </c>
      <c r="BL38" s="22">
        <v>343873.49</v>
      </c>
      <c r="BM38" s="22">
        <v>0</v>
      </c>
      <c r="BN38" s="22">
        <f t="shared" si="12"/>
        <v>2743910.09</v>
      </c>
      <c r="BO38" s="22">
        <f t="shared" si="13"/>
        <v>8231730.2699999996</v>
      </c>
      <c r="BP38" s="22">
        <f t="shared" si="2"/>
        <v>24201712.710000001</v>
      </c>
      <c r="BQ38" s="22">
        <v>618491.13</v>
      </c>
      <c r="BR38" s="22">
        <v>119492.13</v>
      </c>
      <c r="BS38" s="22">
        <v>0</v>
      </c>
      <c r="BT38" s="22">
        <v>85968.37</v>
      </c>
      <c r="BU38" s="22">
        <v>0</v>
      </c>
      <c r="BV38" s="30">
        <f t="shared" si="14"/>
        <v>823951.63</v>
      </c>
      <c r="BW38" s="22">
        <v>422221.57000000007</v>
      </c>
      <c r="BX38" s="22">
        <v>81572.959999999992</v>
      </c>
      <c r="BY38" s="22">
        <v>0</v>
      </c>
      <c r="BZ38" s="22">
        <v>58687.509999999995</v>
      </c>
      <c r="CA38" s="22">
        <v>0</v>
      </c>
      <c r="CB38" s="22">
        <f t="shared" si="15"/>
        <v>562482.04</v>
      </c>
      <c r="CC38" s="22">
        <v>321615.39</v>
      </c>
      <c r="CD38" s="22">
        <v>62135.91</v>
      </c>
      <c r="CE38" s="22">
        <v>0</v>
      </c>
      <c r="CF38" s="22">
        <v>44703.55</v>
      </c>
      <c r="CG38" s="22">
        <v>0</v>
      </c>
      <c r="CH38" s="30">
        <f t="shared" si="16"/>
        <v>428454.85000000003</v>
      </c>
      <c r="CI38" s="30">
        <f t="shared" si="17"/>
        <v>1814888.52</v>
      </c>
      <c r="CJ38" s="30">
        <f t="shared" si="18"/>
        <v>26016601.23</v>
      </c>
    </row>
    <row r="39" spans="1:88" s="4" customFormat="1">
      <c r="A39" s="27" t="s">
        <v>96</v>
      </c>
      <c r="B39" s="27" t="s">
        <v>97</v>
      </c>
      <c r="C39" s="28"/>
      <c r="D39" s="28">
        <f>12646557.56+1541013.35</f>
        <v>14187570.91</v>
      </c>
      <c r="E39" s="28">
        <v>328173.2</v>
      </c>
      <c r="F39" s="28">
        <v>0</v>
      </c>
      <c r="G39" s="28">
        <v>1835157.89</v>
      </c>
      <c r="H39" s="28"/>
      <c r="I39" s="28">
        <f t="shared" si="3"/>
        <v>16350902</v>
      </c>
      <c r="J39" s="28">
        <f>12452419.02+2137697.94</f>
        <v>14590116.959999999</v>
      </c>
      <c r="K39" s="28">
        <v>323135.38</v>
      </c>
      <c r="L39" s="28">
        <v>0</v>
      </c>
      <c r="M39" s="28">
        <v>1806986.2</v>
      </c>
      <c r="N39" s="28">
        <v>553230.46</v>
      </c>
      <c r="O39" s="29"/>
      <c r="P39" s="28">
        <f t="shared" si="4"/>
        <v>17273469</v>
      </c>
      <c r="Q39" s="28">
        <f>12490074.63+2093600.92</f>
        <v>14583675.550000001</v>
      </c>
      <c r="R39" s="28">
        <v>324112.53000000003</v>
      </c>
      <c r="S39" s="28">
        <v>0</v>
      </c>
      <c r="T39" s="28">
        <v>1812450.46</v>
      </c>
      <c r="U39" s="28">
        <v>553230.46</v>
      </c>
      <c r="V39" s="31"/>
      <c r="W39" s="28">
        <f t="shared" si="5"/>
        <v>17273469</v>
      </c>
      <c r="X39" s="28">
        <f t="shared" si="6"/>
        <v>50897840</v>
      </c>
      <c r="Y39" s="22">
        <v>14652303.399999999</v>
      </c>
      <c r="Z39" s="22">
        <v>329639.05</v>
      </c>
      <c r="AA39" s="22">
        <v>0</v>
      </c>
      <c r="AB39" s="22">
        <v>1844101.54</v>
      </c>
      <c r="AC39" s="22">
        <v>553230.46</v>
      </c>
      <c r="AD39" s="22">
        <v>0</v>
      </c>
      <c r="AE39" s="30">
        <f t="shared" si="0"/>
        <v>17379274.449999999</v>
      </c>
      <c r="AF39" s="30">
        <f t="shared" si="1"/>
        <v>68277114.450000003</v>
      </c>
      <c r="AG39" s="22">
        <v>14652303.399999999</v>
      </c>
      <c r="AH39" s="22">
        <v>329639.05</v>
      </c>
      <c r="AI39" s="22">
        <v>0</v>
      </c>
      <c r="AJ39" s="22">
        <v>1844101.54</v>
      </c>
      <c r="AK39" s="22">
        <v>553230.46</v>
      </c>
      <c r="AL39" s="22">
        <v>45080</v>
      </c>
      <c r="AM39" s="30">
        <f t="shared" si="7"/>
        <v>17424354.449999999</v>
      </c>
      <c r="AN39" s="22">
        <v>14652303.399999999</v>
      </c>
      <c r="AO39" s="22">
        <v>329639.05</v>
      </c>
      <c r="AP39" s="22">
        <v>0</v>
      </c>
      <c r="AQ39" s="22">
        <v>1844101.54</v>
      </c>
      <c r="AR39" s="22">
        <v>553230.46</v>
      </c>
      <c r="AS39" s="22">
        <v>0</v>
      </c>
      <c r="AT39" s="30">
        <f t="shared" si="8"/>
        <v>17379274.449999999</v>
      </c>
      <c r="AU39" s="30">
        <f t="shared" si="9"/>
        <v>52182903.349999994</v>
      </c>
      <c r="AV39" s="22">
        <v>14652303.399999999</v>
      </c>
      <c r="AW39" s="22">
        <v>329639.05</v>
      </c>
      <c r="AX39" s="22">
        <v>0</v>
      </c>
      <c r="AY39" s="22">
        <v>1844101.54</v>
      </c>
      <c r="AZ39" s="22">
        <v>553230.46</v>
      </c>
      <c r="BA39" s="22">
        <v>0</v>
      </c>
      <c r="BB39" s="22">
        <f t="shared" si="10"/>
        <v>17379274.449999999</v>
      </c>
      <c r="BC39" s="22">
        <v>14652303.399999999</v>
      </c>
      <c r="BD39" s="22">
        <v>329639.05</v>
      </c>
      <c r="BE39" s="22">
        <v>0</v>
      </c>
      <c r="BF39" s="22">
        <v>1844101.54</v>
      </c>
      <c r="BG39" s="22">
        <v>553230.46</v>
      </c>
      <c r="BH39" s="22">
        <f t="shared" si="11"/>
        <v>17379274.449999999</v>
      </c>
      <c r="BI39" s="22">
        <v>14652303.399999999</v>
      </c>
      <c r="BJ39" s="22">
        <v>329639.05</v>
      </c>
      <c r="BK39" s="22">
        <v>0</v>
      </c>
      <c r="BL39" s="22">
        <v>1844101.54</v>
      </c>
      <c r="BM39" s="22">
        <v>553230.46</v>
      </c>
      <c r="BN39" s="22">
        <f t="shared" si="12"/>
        <v>17379274.449999999</v>
      </c>
      <c r="BO39" s="22">
        <f t="shared" si="13"/>
        <v>52137823.349999994</v>
      </c>
      <c r="BP39" s="22">
        <f t="shared" si="2"/>
        <v>155218566.69999999</v>
      </c>
      <c r="BQ39" s="22">
        <v>3450437.07</v>
      </c>
      <c r="BR39" s="22">
        <v>82409.759999999995</v>
      </c>
      <c r="BS39" s="22">
        <v>0</v>
      </c>
      <c r="BT39" s="22">
        <v>461025.39</v>
      </c>
      <c r="BU39" s="22">
        <v>138307.62</v>
      </c>
      <c r="BV39" s="30">
        <f t="shared" si="14"/>
        <v>4132179.84</v>
      </c>
      <c r="BW39" s="22">
        <v>2355488.8500000006</v>
      </c>
      <c r="BX39" s="22">
        <v>56258.170000000013</v>
      </c>
      <c r="BY39" s="22">
        <v>0</v>
      </c>
      <c r="BZ39" s="22">
        <v>314725.38999999996</v>
      </c>
      <c r="CA39" s="22">
        <v>94417.61</v>
      </c>
      <c r="CB39" s="22">
        <f t="shared" si="15"/>
        <v>2820890.0200000005</v>
      </c>
      <c r="CC39" s="22">
        <v>1794227.28</v>
      </c>
      <c r="CD39" s="22">
        <v>42853.08</v>
      </c>
      <c r="CE39" s="22">
        <v>0</v>
      </c>
      <c r="CF39" s="22">
        <v>239733.2</v>
      </c>
      <c r="CG39" s="22">
        <v>71919.960000000006</v>
      </c>
      <c r="CH39" s="30">
        <f t="shared" si="16"/>
        <v>2148733.52</v>
      </c>
      <c r="CI39" s="30">
        <f t="shared" si="17"/>
        <v>9101803.3800000008</v>
      </c>
      <c r="CJ39" s="30">
        <f t="shared" si="18"/>
        <v>164320370.07999998</v>
      </c>
    </row>
    <row r="40" spans="1:88" s="4" customFormat="1">
      <c r="A40" s="27" t="s">
        <v>98</v>
      </c>
      <c r="B40" s="27" t="s">
        <v>99</v>
      </c>
      <c r="C40" s="28"/>
      <c r="D40" s="28">
        <v>381906.83</v>
      </c>
      <c r="E40" s="28">
        <v>0</v>
      </c>
      <c r="F40" s="28">
        <v>0</v>
      </c>
      <c r="G40" s="28">
        <v>297266.8</v>
      </c>
      <c r="H40" s="28"/>
      <c r="I40" s="28">
        <f t="shared" si="3"/>
        <v>679173.63</v>
      </c>
      <c r="J40" s="28">
        <v>376044.14</v>
      </c>
      <c r="K40" s="28">
        <v>0</v>
      </c>
      <c r="L40" s="28">
        <v>0</v>
      </c>
      <c r="M40" s="28">
        <v>292703.43</v>
      </c>
      <c r="N40" s="28">
        <v>0</v>
      </c>
      <c r="O40" s="29"/>
      <c r="P40" s="28">
        <f t="shared" si="4"/>
        <v>668747.57000000007</v>
      </c>
      <c r="Q40" s="28">
        <v>377181.29</v>
      </c>
      <c r="R40" s="28">
        <v>0</v>
      </c>
      <c r="S40" s="28">
        <v>0</v>
      </c>
      <c r="T40" s="28">
        <v>293588.55</v>
      </c>
      <c r="U40" s="28">
        <v>0</v>
      </c>
      <c r="V40" s="31"/>
      <c r="W40" s="28">
        <f t="shared" si="5"/>
        <v>670769.84</v>
      </c>
      <c r="X40" s="28">
        <f t="shared" si="6"/>
        <v>2018691.04</v>
      </c>
      <c r="Y40" s="22">
        <v>393799.46666666673</v>
      </c>
      <c r="Z40" s="22">
        <v>0</v>
      </c>
      <c r="AA40" s="22">
        <v>0</v>
      </c>
      <c r="AB40" s="22">
        <v>298715.53000000003</v>
      </c>
      <c r="AC40" s="22">
        <v>0</v>
      </c>
      <c r="AD40" s="22">
        <v>0</v>
      </c>
      <c r="AE40" s="30">
        <f t="shared" si="0"/>
        <v>692514.99666666682</v>
      </c>
      <c r="AF40" s="30">
        <f t="shared" si="1"/>
        <v>2711206.0366666671</v>
      </c>
      <c r="AG40" s="22">
        <v>393799.46666666673</v>
      </c>
      <c r="AH40" s="22">
        <v>0</v>
      </c>
      <c r="AI40" s="22">
        <v>0</v>
      </c>
      <c r="AJ40" s="22">
        <v>298715.53000000003</v>
      </c>
      <c r="AK40" s="22">
        <v>0</v>
      </c>
      <c r="AL40" s="22">
        <v>0</v>
      </c>
      <c r="AM40" s="30">
        <f t="shared" si="7"/>
        <v>692514.99666666682</v>
      </c>
      <c r="AN40" s="22">
        <v>393799.46666666673</v>
      </c>
      <c r="AO40" s="22">
        <v>0</v>
      </c>
      <c r="AP40" s="22">
        <v>0</v>
      </c>
      <c r="AQ40" s="22">
        <v>298715.53000000003</v>
      </c>
      <c r="AR40" s="22">
        <v>0</v>
      </c>
      <c r="AS40" s="22">
        <v>0</v>
      </c>
      <c r="AT40" s="30">
        <f t="shared" si="8"/>
        <v>692514.99666666682</v>
      </c>
      <c r="AU40" s="30">
        <f t="shared" si="9"/>
        <v>2077544.9900000005</v>
      </c>
      <c r="AV40" s="22">
        <v>393799.46666666673</v>
      </c>
      <c r="AW40" s="22">
        <v>0</v>
      </c>
      <c r="AX40" s="22">
        <v>0</v>
      </c>
      <c r="AY40" s="22">
        <v>298715.53000000003</v>
      </c>
      <c r="AZ40" s="22">
        <v>0</v>
      </c>
      <c r="BA40" s="22">
        <v>0</v>
      </c>
      <c r="BB40" s="22">
        <f t="shared" si="10"/>
        <v>692514.99666666682</v>
      </c>
      <c r="BC40" s="22">
        <v>393799.46666666673</v>
      </c>
      <c r="BD40" s="22">
        <v>0</v>
      </c>
      <c r="BE40" s="22">
        <v>0</v>
      </c>
      <c r="BF40" s="22">
        <v>298715.53000000003</v>
      </c>
      <c r="BG40" s="22">
        <v>0</v>
      </c>
      <c r="BH40" s="22">
        <f t="shared" si="11"/>
        <v>692514.99666666682</v>
      </c>
      <c r="BI40" s="22">
        <v>393799.46666666673</v>
      </c>
      <c r="BJ40" s="22">
        <v>0</v>
      </c>
      <c r="BK40" s="22">
        <v>0</v>
      </c>
      <c r="BL40" s="22">
        <v>298715.53000000003</v>
      </c>
      <c r="BM40" s="22">
        <v>0</v>
      </c>
      <c r="BN40" s="22">
        <f t="shared" si="12"/>
        <v>692514.99666666682</v>
      </c>
      <c r="BO40" s="22">
        <f t="shared" si="13"/>
        <v>2077544.9900000005</v>
      </c>
      <c r="BP40" s="22">
        <f t="shared" si="2"/>
        <v>6173781.0200000023</v>
      </c>
      <c r="BQ40" s="22">
        <v>105442.32</v>
      </c>
      <c r="BR40" s="22">
        <v>0</v>
      </c>
      <c r="BS40" s="22">
        <v>0</v>
      </c>
      <c r="BT40" s="22">
        <v>74678.880000000005</v>
      </c>
      <c r="BU40" s="22">
        <v>0</v>
      </c>
      <c r="BV40" s="30">
        <f t="shared" si="14"/>
        <v>180121.2</v>
      </c>
      <c r="BW40" s="22">
        <v>71981.659999999974</v>
      </c>
      <c r="BX40" s="22">
        <v>0</v>
      </c>
      <c r="BY40" s="22">
        <v>0</v>
      </c>
      <c r="BZ40" s="22">
        <v>50980.580000000009</v>
      </c>
      <c r="CA40" s="22">
        <v>0</v>
      </c>
      <c r="CB40" s="22">
        <f t="shared" si="15"/>
        <v>122962.23999999999</v>
      </c>
      <c r="CC40" s="22">
        <v>54830.01</v>
      </c>
      <c r="CD40" s="22">
        <v>0</v>
      </c>
      <c r="CE40" s="22">
        <v>0</v>
      </c>
      <c r="CF40" s="22">
        <v>38833.019999999997</v>
      </c>
      <c r="CG40" s="22">
        <v>0</v>
      </c>
      <c r="CH40" s="30">
        <f t="shared" si="16"/>
        <v>93663.03</v>
      </c>
      <c r="CI40" s="30">
        <f t="shared" si="17"/>
        <v>396746.47</v>
      </c>
      <c r="CJ40" s="30">
        <f t="shared" si="18"/>
        <v>6570527.4900000002</v>
      </c>
    </row>
    <row r="41" spans="1:88" s="4" customFormat="1">
      <c r="A41" s="27" t="s">
        <v>100</v>
      </c>
      <c r="B41" s="27" t="s">
        <v>101</v>
      </c>
      <c r="C41" s="28"/>
      <c r="D41" s="28">
        <v>2181373.81</v>
      </c>
      <c r="E41" s="28">
        <v>735126.42</v>
      </c>
      <c r="F41" s="28">
        <v>0</v>
      </c>
      <c r="G41" s="28">
        <v>222712.05</v>
      </c>
      <c r="H41" s="28"/>
      <c r="I41" s="28">
        <f t="shared" si="3"/>
        <v>3139212.28</v>
      </c>
      <c r="J41" s="28">
        <v>2147887.3199999998</v>
      </c>
      <c r="K41" s="28">
        <v>723841.42</v>
      </c>
      <c r="L41" s="28">
        <v>0</v>
      </c>
      <c r="M41" s="28">
        <v>219293.18</v>
      </c>
      <c r="N41" s="28">
        <v>0</v>
      </c>
      <c r="O41" s="29"/>
      <c r="P41" s="28">
        <f t="shared" si="4"/>
        <v>3091021.92</v>
      </c>
      <c r="Q41" s="28">
        <v>2154382.4500000002</v>
      </c>
      <c r="R41" s="28">
        <v>726030.29</v>
      </c>
      <c r="S41" s="28">
        <v>0</v>
      </c>
      <c r="T41" s="28">
        <v>219956.31</v>
      </c>
      <c r="U41" s="28">
        <v>0</v>
      </c>
      <c r="V41" s="31"/>
      <c r="W41" s="28">
        <f t="shared" si="5"/>
        <v>3100369.0500000003</v>
      </c>
      <c r="X41" s="28">
        <f t="shared" si="6"/>
        <v>9330603.25</v>
      </c>
      <c r="Y41" s="22">
        <v>2181617.52</v>
      </c>
      <c r="Z41" s="22">
        <v>738709.06</v>
      </c>
      <c r="AA41" s="22">
        <v>0</v>
      </c>
      <c r="AB41" s="22">
        <v>223797.44</v>
      </c>
      <c r="AC41" s="22">
        <v>0</v>
      </c>
      <c r="AD41" s="22">
        <v>0</v>
      </c>
      <c r="AE41" s="30">
        <f t="shared" si="0"/>
        <v>3144124.02</v>
      </c>
      <c r="AF41" s="30">
        <f t="shared" si="1"/>
        <v>12474727.27</v>
      </c>
      <c r="AG41" s="22">
        <v>2181617.52</v>
      </c>
      <c r="AH41" s="22">
        <v>738709.06</v>
      </c>
      <c r="AI41" s="22">
        <v>0</v>
      </c>
      <c r="AJ41" s="22">
        <v>223797.44</v>
      </c>
      <c r="AK41" s="22">
        <v>0</v>
      </c>
      <c r="AL41" s="22">
        <v>0</v>
      </c>
      <c r="AM41" s="30">
        <f t="shared" si="7"/>
        <v>3144124.02</v>
      </c>
      <c r="AN41" s="22">
        <v>2181617.52</v>
      </c>
      <c r="AO41" s="22">
        <v>738709.06</v>
      </c>
      <c r="AP41" s="22">
        <v>0</v>
      </c>
      <c r="AQ41" s="22">
        <v>223797.44</v>
      </c>
      <c r="AR41" s="22">
        <v>0</v>
      </c>
      <c r="AS41" s="22">
        <v>0</v>
      </c>
      <c r="AT41" s="30">
        <f t="shared" si="8"/>
        <v>3144124.02</v>
      </c>
      <c r="AU41" s="30">
        <f t="shared" si="9"/>
        <v>9432372.0600000005</v>
      </c>
      <c r="AV41" s="22">
        <v>2181617.52</v>
      </c>
      <c r="AW41" s="22">
        <v>738709.06</v>
      </c>
      <c r="AX41" s="22">
        <v>0</v>
      </c>
      <c r="AY41" s="22">
        <v>223797.44</v>
      </c>
      <c r="AZ41" s="22">
        <v>0</v>
      </c>
      <c r="BA41" s="22">
        <v>0</v>
      </c>
      <c r="BB41" s="22">
        <f t="shared" si="10"/>
        <v>3144124.02</v>
      </c>
      <c r="BC41" s="22">
        <v>2181617.52</v>
      </c>
      <c r="BD41" s="22">
        <v>738709.06</v>
      </c>
      <c r="BE41" s="22">
        <v>0</v>
      </c>
      <c r="BF41" s="22">
        <v>223797.44</v>
      </c>
      <c r="BG41" s="22">
        <v>0</v>
      </c>
      <c r="BH41" s="22">
        <f t="shared" si="11"/>
        <v>3144124.02</v>
      </c>
      <c r="BI41" s="22">
        <v>2181617.52</v>
      </c>
      <c r="BJ41" s="22">
        <v>738709.06</v>
      </c>
      <c r="BK41" s="22">
        <v>0</v>
      </c>
      <c r="BL41" s="22">
        <v>223797.44</v>
      </c>
      <c r="BM41" s="22">
        <v>0</v>
      </c>
      <c r="BN41" s="22">
        <f t="shared" si="12"/>
        <v>3144124.02</v>
      </c>
      <c r="BO41" s="22">
        <f t="shared" si="13"/>
        <v>9432372.0600000005</v>
      </c>
      <c r="BP41" s="22">
        <f t="shared" si="2"/>
        <v>28195347.369999997</v>
      </c>
      <c r="BQ41" s="22">
        <v>559300.18000000005</v>
      </c>
      <c r="BR41" s="22">
        <v>184677.27</v>
      </c>
      <c r="BS41" s="22">
        <v>0</v>
      </c>
      <c r="BT41" s="22">
        <v>55949.36</v>
      </c>
      <c r="BU41" s="22">
        <v>0</v>
      </c>
      <c r="BV41" s="30">
        <f t="shared" si="14"/>
        <v>799926.81</v>
      </c>
      <c r="BW41" s="22">
        <v>381814.05</v>
      </c>
      <c r="BX41" s="22">
        <v>126072.50000000003</v>
      </c>
      <c r="BY41" s="22">
        <v>0</v>
      </c>
      <c r="BZ41" s="22">
        <v>38194.61</v>
      </c>
      <c r="CA41" s="22">
        <v>0</v>
      </c>
      <c r="CB41" s="22">
        <f t="shared" si="15"/>
        <v>546081.16</v>
      </c>
      <c r="CC41" s="22">
        <v>290836.09000000003</v>
      </c>
      <c r="CD41" s="22">
        <v>96032.18</v>
      </c>
      <c r="CE41" s="22">
        <v>0</v>
      </c>
      <c r="CF41" s="22">
        <v>29093.67</v>
      </c>
      <c r="CG41" s="22">
        <v>0</v>
      </c>
      <c r="CH41" s="30">
        <f t="shared" si="16"/>
        <v>415961.94</v>
      </c>
      <c r="CI41" s="30">
        <f t="shared" si="17"/>
        <v>1761969.9100000001</v>
      </c>
      <c r="CJ41" s="30">
        <f t="shared" si="18"/>
        <v>29957317.280000005</v>
      </c>
    </row>
    <row r="42" spans="1:88" s="4" customFormat="1">
      <c r="A42" s="27" t="s">
        <v>102</v>
      </c>
      <c r="B42" s="27" t="s">
        <v>103</v>
      </c>
      <c r="C42" s="28">
        <f>6077103.53-4500549.46</f>
        <v>1576554.0700000003</v>
      </c>
      <c r="D42" s="28">
        <v>4053447.2</v>
      </c>
      <c r="E42" s="28">
        <v>0</v>
      </c>
      <c r="F42" s="28">
        <v>0</v>
      </c>
      <c r="G42" s="28">
        <v>817291.15</v>
      </c>
      <c r="H42" s="28">
        <v>237381.60000000056</v>
      </c>
      <c r="I42" s="28">
        <f t="shared" si="3"/>
        <v>5108119.9500000011</v>
      </c>
      <c r="J42" s="28">
        <v>3991222.34</v>
      </c>
      <c r="K42" s="28">
        <v>0</v>
      </c>
      <c r="L42" s="28">
        <v>0</v>
      </c>
      <c r="M42" s="28">
        <v>804744.83</v>
      </c>
      <c r="N42" s="28">
        <v>246382.27</v>
      </c>
      <c r="O42" s="29">
        <f>5052875.63-5042349.44</f>
        <v>10526.189999999478</v>
      </c>
      <c r="P42" s="28">
        <f t="shared" si="4"/>
        <v>5052875.629999999</v>
      </c>
      <c r="Q42" s="28">
        <v>4003291.63</v>
      </c>
      <c r="R42" s="28">
        <v>0</v>
      </c>
      <c r="S42" s="28">
        <v>0</v>
      </c>
      <c r="T42" s="28">
        <v>807178.35</v>
      </c>
      <c r="U42" s="28">
        <v>246382.27</v>
      </c>
      <c r="V42" s="31">
        <v>53550.63</v>
      </c>
      <c r="W42" s="28">
        <f t="shared" si="5"/>
        <v>5110402.879999999</v>
      </c>
      <c r="X42" s="28">
        <f t="shared" si="6"/>
        <v>16847952.530000001</v>
      </c>
      <c r="Y42" s="22">
        <v>4109960.827</v>
      </c>
      <c r="Z42" s="22">
        <v>0</v>
      </c>
      <c r="AA42" s="22">
        <v>0</v>
      </c>
      <c r="AB42" s="22">
        <v>821274.22</v>
      </c>
      <c r="AC42" s="22">
        <v>246382.27</v>
      </c>
      <c r="AD42" s="22">
        <v>0</v>
      </c>
      <c r="AE42" s="30">
        <f t="shared" si="0"/>
        <v>5177617.3169999998</v>
      </c>
      <c r="AF42" s="30">
        <f t="shared" si="1"/>
        <v>22025569.847000003</v>
      </c>
      <c r="AG42" s="22">
        <v>4109960.827</v>
      </c>
      <c r="AH42" s="22">
        <v>0</v>
      </c>
      <c r="AI42" s="22">
        <v>0</v>
      </c>
      <c r="AJ42" s="22">
        <v>821274.22</v>
      </c>
      <c r="AK42" s="22">
        <v>246382.27</v>
      </c>
      <c r="AL42" s="22">
        <v>0</v>
      </c>
      <c r="AM42" s="30">
        <f t="shared" si="7"/>
        <v>5177617.3169999998</v>
      </c>
      <c r="AN42" s="22">
        <v>4109960.827</v>
      </c>
      <c r="AO42" s="22">
        <v>0</v>
      </c>
      <c r="AP42" s="22">
        <v>0</v>
      </c>
      <c r="AQ42" s="22">
        <v>821274.22</v>
      </c>
      <c r="AR42" s="22">
        <v>246382.27</v>
      </c>
      <c r="AS42" s="22">
        <v>0</v>
      </c>
      <c r="AT42" s="30">
        <f t="shared" si="8"/>
        <v>5177617.3169999998</v>
      </c>
      <c r="AU42" s="30">
        <f t="shared" si="9"/>
        <v>15532851.950999999</v>
      </c>
      <c r="AV42" s="22">
        <v>4109960.827</v>
      </c>
      <c r="AW42" s="22">
        <v>0</v>
      </c>
      <c r="AX42" s="22">
        <v>0</v>
      </c>
      <c r="AY42" s="22">
        <v>821274.22</v>
      </c>
      <c r="AZ42" s="22">
        <v>246382.27</v>
      </c>
      <c r="BA42" s="22">
        <v>0</v>
      </c>
      <c r="BB42" s="22">
        <f t="shared" si="10"/>
        <v>5177617.3169999998</v>
      </c>
      <c r="BC42" s="22">
        <v>4109960.827</v>
      </c>
      <c r="BD42" s="22">
        <v>0</v>
      </c>
      <c r="BE42" s="22">
        <v>0</v>
      </c>
      <c r="BF42" s="22">
        <v>821274.22</v>
      </c>
      <c r="BG42" s="22">
        <v>246382.27</v>
      </c>
      <c r="BH42" s="22">
        <f t="shared" si="11"/>
        <v>5177617.3169999998</v>
      </c>
      <c r="BI42" s="22">
        <v>4109960.827</v>
      </c>
      <c r="BJ42" s="22">
        <v>0</v>
      </c>
      <c r="BK42" s="22">
        <v>0</v>
      </c>
      <c r="BL42" s="22">
        <v>821274.22</v>
      </c>
      <c r="BM42" s="22">
        <v>246382.27</v>
      </c>
      <c r="BN42" s="22">
        <f t="shared" si="12"/>
        <v>5177617.3169999998</v>
      </c>
      <c r="BO42" s="22">
        <f t="shared" si="13"/>
        <v>15532851.950999999</v>
      </c>
      <c r="BP42" s="22">
        <f t="shared" si="2"/>
        <v>47913656.432000011</v>
      </c>
      <c r="BQ42" s="22">
        <v>603437.29</v>
      </c>
      <c r="BR42" s="22">
        <v>0</v>
      </c>
      <c r="BS42" s="22">
        <v>0</v>
      </c>
      <c r="BT42" s="22">
        <v>205318.56</v>
      </c>
      <c r="BU42" s="22">
        <v>61595.57</v>
      </c>
      <c r="BV42" s="30">
        <f t="shared" si="14"/>
        <v>870351.42</v>
      </c>
      <c r="BW42" s="22">
        <v>411944.86</v>
      </c>
      <c r="BX42" s="22">
        <v>0</v>
      </c>
      <c r="BY42" s="22">
        <v>0</v>
      </c>
      <c r="BZ42" s="22">
        <v>140163.56000000003</v>
      </c>
      <c r="CA42" s="22">
        <v>42049.059999999983</v>
      </c>
      <c r="CB42" s="22">
        <f t="shared" si="15"/>
        <v>594157.48</v>
      </c>
      <c r="CC42" s="22">
        <v>313787.39</v>
      </c>
      <c r="CD42" s="22">
        <v>0</v>
      </c>
      <c r="CE42" s="22">
        <v>0</v>
      </c>
      <c r="CF42" s="22">
        <v>106765.65</v>
      </c>
      <c r="CG42" s="22">
        <v>32029.7</v>
      </c>
      <c r="CH42" s="30">
        <f t="shared" si="16"/>
        <v>452582.74000000005</v>
      </c>
      <c r="CI42" s="30">
        <f t="shared" si="17"/>
        <v>1917091.64</v>
      </c>
      <c r="CJ42" s="30">
        <f t="shared" si="18"/>
        <v>49830748.071999997</v>
      </c>
    </row>
    <row r="43" spans="1:88" s="4" customFormat="1">
      <c r="A43" s="27" t="s">
        <v>104</v>
      </c>
      <c r="B43" s="27" t="s">
        <v>105</v>
      </c>
      <c r="C43" s="28"/>
      <c r="D43" s="28">
        <v>5497700.0199999996</v>
      </c>
      <c r="E43" s="28">
        <v>680419.97</v>
      </c>
      <c r="F43" s="28">
        <v>0</v>
      </c>
      <c r="G43" s="28">
        <v>260276.08</v>
      </c>
      <c r="H43" s="28"/>
      <c r="I43" s="28">
        <f t="shared" si="3"/>
        <v>6438396.0699999994</v>
      </c>
      <c r="J43" s="28">
        <v>5413304.2800000003</v>
      </c>
      <c r="K43" s="28">
        <v>669974.78</v>
      </c>
      <c r="L43" s="28">
        <v>0</v>
      </c>
      <c r="M43" s="28">
        <v>256280.56</v>
      </c>
      <c r="N43" s="28">
        <v>0</v>
      </c>
      <c r="O43" s="29"/>
      <c r="P43" s="28">
        <f t="shared" si="4"/>
        <v>6339559.6200000001</v>
      </c>
      <c r="Q43" s="28">
        <v>5429673.9000000004</v>
      </c>
      <c r="R43" s="28">
        <v>672000.75</v>
      </c>
      <c r="S43" s="28">
        <v>0</v>
      </c>
      <c r="T43" s="28">
        <v>257055.54</v>
      </c>
      <c r="U43" s="28">
        <v>0</v>
      </c>
      <c r="V43" s="31"/>
      <c r="W43" s="28">
        <f t="shared" si="5"/>
        <v>6358730.1900000004</v>
      </c>
      <c r="X43" s="28">
        <f t="shared" si="6"/>
        <v>19136685.879999999</v>
      </c>
      <c r="Y43" s="22">
        <v>5428784.3268749993</v>
      </c>
      <c r="Z43" s="22">
        <v>683872.72</v>
      </c>
      <c r="AA43" s="22">
        <v>0</v>
      </c>
      <c r="AB43" s="22">
        <v>261544.54</v>
      </c>
      <c r="AC43" s="22">
        <v>0</v>
      </c>
      <c r="AD43" s="22">
        <v>0</v>
      </c>
      <c r="AE43" s="30">
        <f t="shared" si="0"/>
        <v>6374201.5868749991</v>
      </c>
      <c r="AF43" s="30">
        <f t="shared" si="1"/>
        <v>25510887.466874998</v>
      </c>
      <c r="AG43" s="22">
        <v>5428784.3268749993</v>
      </c>
      <c r="AH43" s="22">
        <v>683872.72</v>
      </c>
      <c r="AI43" s="22">
        <v>0</v>
      </c>
      <c r="AJ43" s="22">
        <v>261544.54</v>
      </c>
      <c r="AK43" s="22">
        <v>0</v>
      </c>
      <c r="AL43" s="22">
        <v>0</v>
      </c>
      <c r="AM43" s="30">
        <f t="shared" si="7"/>
        <v>6374201.5868749991</v>
      </c>
      <c r="AN43" s="22">
        <v>5428784.3268749993</v>
      </c>
      <c r="AO43" s="22">
        <v>683872.72</v>
      </c>
      <c r="AP43" s="22">
        <v>0</v>
      </c>
      <c r="AQ43" s="22">
        <v>261544.54</v>
      </c>
      <c r="AR43" s="22">
        <v>0</v>
      </c>
      <c r="AS43" s="22">
        <v>0</v>
      </c>
      <c r="AT43" s="30">
        <f t="shared" si="8"/>
        <v>6374201.5868749991</v>
      </c>
      <c r="AU43" s="30">
        <f t="shared" si="9"/>
        <v>19122604.760624997</v>
      </c>
      <c r="AV43" s="22">
        <v>5428784.3268749993</v>
      </c>
      <c r="AW43" s="22">
        <v>683872.72</v>
      </c>
      <c r="AX43" s="22">
        <v>0</v>
      </c>
      <c r="AY43" s="22">
        <v>261544.54</v>
      </c>
      <c r="AZ43" s="22">
        <v>0</v>
      </c>
      <c r="BA43" s="22">
        <v>0</v>
      </c>
      <c r="BB43" s="22">
        <f t="shared" si="10"/>
        <v>6374201.5868749991</v>
      </c>
      <c r="BC43" s="22">
        <v>5428784.3268749993</v>
      </c>
      <c r="BD43" s="22">
        <v>683872.72</v>
      </c>
      <c r="BE43" s="22">
        <v>0</v>
      </c>
      <c r="BF43" s="22">
        <v>261544.54</v>
      </c>
      <c r="BG43" s="22">
        <v>0</v>
      </c>
      <c r="BH43" s="22">
        <f t="shared" si="11"/>
        <v>6374201.5868749991</v>
      </c>
      <c r="BI43" s="22">
        <v>5428784.3268749993</v>
      </c>
      <c r="BJ43" s="22">
        <v>683872.72</v>
      </c>
      <c r="BK43" s="22">
        <v>0</v>
      </c>
      <c r="BL43" s="22">
        <v>261544.54</v>
      </c>
      <c r="BM43" s="22">
        <v>0</v>
      </c>
      <c r="BN43" s="22">
        <f t="shared" si="12"/>
        <v>6374201.5868749991</v>
      </c>
      <c r="BO43" s="22">
        <f t="shared" si="13"/>
        <v>19122604.760624997</v>
      </c>
      <c r="BP43" s="22">
        <f t="shared" si="2"/>
        <v>57381895.401249997</v>
      </c>
      <c r="BQ43" s="22">
        <v>1270029.94</v>
      </c>
      <c r="BR43" s="22">
        <v>170968.18</v>
      </c>
      <c r="BS43" s="22">
        <v>0</v>
      </c>
      <c r="BT43" s="22">
        <v>65386.14</v>
      </c>
      <c r="BU43" s="22">
        <v>0</v>
      </c>
      <c r="BV43" s="30">
        <f t="shared" si="14"/>
        <v>1506384.2599999998</v>
      </c>
      <c r="BW43" s="22">
        <v>867003.6</v>
      </c>
      <c r="BX43" s="22">
        <v>116713.81000000001</v>
      </c>
      <c r="BY43" s="22">
        <v>0</v>
      </c>
      <c r="BZ43" s="22">
        <v>44636.749999999993</v>
      </c>
      <c r="CA43" s="22">
        <v>0</v>
      </c>
      <c r="CB43" s="22">
        <f t="shared" si="15"/>
        <v>1028354.16</v>
      </c>
      <c r="CC43" s="22">
        <v>660415.56999999995</v>
      </c>
      <c r="CD43" s="22">
        <v>88903.45</v>
      </c>
      <c r="CE43" s="22">
        <v>0</v>
      </c>
      <c r="CF43" s="22">
        <v>34000.79</v>
      </c>
      <c r="CG43" s="22">
        <v>0</v>
      </c>
      <c r="CH43" s="30">
        <f t="shared" si="16"/>
        <v>783319.80999999994</v>
      </c>
      <c r="CI43" s="30">
        <f t="shared" si="17"/>
        <v>3318058.23</v>
      </c>
      <c r="CJ43" s="30">
        <f t="shared" si="18"/>
        <v>60699953.631249994</v>
      </c>
    </row>
    <row r="44" spans="1:88" s="4" customFormat="1">
      <c r="A44" s="27" t="s">
        <v>106</v>
      </c>
      <c r="B44" s="27" t="s">
        <v>107</v>
      </c>
      <c r="C44" s="28"/>
      <c r="D44" s="28">
        <v>6081095.4900000002</v>
      </c>
      <c r="E44" s="28">
        <v>0</v>
      </c>
      <c r="F44" s="28">
        <v>0</v>
      </c>
      <c r="G44" s="28">
        <v>3242238.34</v>
      </c>
      <c r="H44" s="28"/>
      <c r="I44" s="28">
        <f t="shared" si="3"/>
        <v>9323333.8300000001</v>
      </c>
      <c r="J44" s="28">
        <v>5987744.0099999998</v>
      </c>
      <c r="K44" s="28">
        <v>0</v>
      </c>
      <c r="L44" s="28">
        <v>0</v>
      </c>
      <c r="M44" s="28">
        <v>3192466.42</v>
      </c>
      <c r="N44" s="28">
        <v>977411.82</v>
      </c>
      <c r="O44" s="29"/>
      <c r="P44" s="28">
        <f t="shared" si="4"/>
        <v>10157622.25</v>
      </c>
      <c r="Q44" s="28">
        <v>6005850.7000000002</v>
      </c>
      <c r="R44" s="28">
        <v>0</v>
      </c>
      <c r="S44" s="28">
        <v>0</v>
      </c>
      <c r="T44" s="28">
        <v>3202120.31</v>
      </c>
      <c r="U44" s="28">
        <v>977411.82</v>
      </c>
      <c r="V44" s="31"/>
      <c r="W44" s="28">
        <f t="shared" si="5"/>
        <v>10185382.83</v>
      </c>
      <c r="X44" s="28">
        <f t="shared" si="6"/>
        <v>29666338.909999996</v>
      </c>
      <c r="Y44" s="22">
        <v>6444141.1200000001</v>
      </c>
      <c r="Z44" s="22">
        <v>0</v>
      </c>
      <c r="AA44" s="22">
        <v>0</v>
      </c>
      <c r="AB44" s="22">
        <v>3258039.4</v>
      </c>
      <c r="AC44" s="22">
        <v>977411.82</v>
      </c>
      <c r="AD44" s="22">
        <v>0</v>
      </c>
      <c r="AE44" s="30">
        <f t="shared" si="0"/>
        <v>10679592.34</v>
      </c>
      <c r="AF44" s="30">
        <f t="shared" si="1"/>
        <v>40345931.25</v>
      </c>
      <c r="AG44" s="22">
        <v>6444141.1200000001</v>
      </c>
      <c r="AH44" s="22">
        <v>0</v>
      </c>
      <c r="AI44" s="22">
        <v>0</v>
      </c>
      <c r="AJ44" s="22">
        <v>3258039.4</v>
      </c>
      <c r="AK44" s="22">
        <v>977411.82</v>
      </c>
      <c r="AL44" s="22">
        <v>0</v>
      </c>
      <c r="AM44" s="30">
        <f t="shared" si="7"/>
        <v>10679592.34</v>
      </c>
      <c r="AN44" s="22">
        <v>6444141.1200000001</v>
      </c>
      <c r="AO44" s="22">
        <v>0</v>
      </c>
      <c r="AP44" s="22">
        <v>0</v>
      </c>
      <c r="AQ44" s="22">
        <v>3258039.4</v>
      </c>
      <c r="AR44" s="22">
        <v>977411.82</v>
      </c>
      <c r="AS44" s="29"/>
      <c r="AT44" s="30">
        <f t="shared" si="8"/>
        <v>10679592.34</v>
      </c>
      <c r="AU44" s="30">
        <f t="shared" si="9"/>
        <v>32038777.02</v>
      </c>
      <c r="AV44" s="22">
        <v>6444141.1200000001</v>
      </c>
      <c r="AW44" s="22">
        <v>0</v>
      </c>
      <c r="AX44" s="22">
        <v>0</v>
      </c>
      <c r="AY44" s="22">
        <v>3258039.4</v>
      </c>
      <c r="AZ44" s="22">
        <v>977411.82</v>
      </c>
      <c r="BA44" s="22">
        <v>0</v>
      </c>
      <c r="BB44" s="22">
        <f t="shared" si="10"/>
        <v>10679592.34</v>
      </c>
      <c r="BC44" s="22">
        <v>6444141.1200000001</v>
      </c>
      <c r="BD44" s="22">
        <v>0</v>
      </c>
      <c r="BE44" s="22">
        <v>0</v>
      </c>
      <c r="BF44" s="22">
        <v>3258039.4</v>
      </c>
      <c r="BG44" s="22">
        <v>977411.82</v>
      </c>
      <c r="BH44" s="22">
        <f t="shared" si="11"/>
        <v>10679592.34</v>
      </c>
      <c r="BI44" s="22">
        <v>6444141.1200000001</v>
      </c>
      <c r="BJ44" s="22">
        <v>0</v>
      </c>
      <c r="BK44" s="22">
        <v>0</v>
      </c>
      <c r="BL44" s="22">
        <v>3258039.4</v>
      </c>
      <c r="BM44" s="22">
        <v>977411.82</v>
      </c>
      <c r="BN44" s="22">
        <f t="shared" si="12"/>
        <v>10679592.34</v>
      </c>
      <c r="BO44" s="22">
        <f t="shared" si="13"/>
        <v>32038777.02</v>
      </c>
      <c r="BP44" s="22">
        <f t="shared" si="2"/>
        <v>93743892.950000018</v>
      </c>
      <c r="BQ44" s="22">
        <v>1664446.75</v>
      </c>
      <c r="BR44" s="22">
        <v>0</v>
      </c>
      <c r="BS44" s="22">
        <v>0</v>
      </c>
      <c r="BT44" s="22">
        <v>814509.85</v>
      </c>
      <c r="BU44" s="22">
        <v>244352.96</v>
      </c>
      <c r="BV44" s="30">
        <f t="shared" si="14"/>
        <v>2723309.56</v>
      </c>
      <c r="BW44" s="22">
        <v>1136257.7199999997</v>
      </c>
      <c r="BX44" s="22">
        <v>0</v>
      </c>
      <c r="BY44" s="22">
        <v>0</v>
      </c>
      <c r="BZ44" s="22">
        <v>556036.48</v>
      </c>
      <c r="CA44" s="22">
        <v>166810.93000000011</v>
      </c>
      <c r="CB44" s="22">
        <f t="shared" si="15"/>
        <v>1859105.13</v>
      </c>
      <c r="CC44" s="22">
        <v>865512.31</v>
      </c>
      <c r="CD44" s="22">
        <v>0</v>
      </c>
      <c r="CE44" s="22">
        <v>0</v>
      </c>
      <c r="CF44" s="22">
        <v>423545.12</v>
      </c>
      <c r="CG44" s="22">
        <v>127063.54</v>
      </c>
      <c r="CH44" s="30">
        <f t="shared" si="16"/>
        <v>1416120.9700000002</v>
      </c>
      <c r="CI44" s="30">
        <f t="shared" si="17"/>
        <v>5998535.6600000001</v>
      </c>
      <c r="CJ44" s="30">
        <f t="shared" si="18"/>
        <v>99742428.609999985</v>
      </c>
    </row>
    <row r="45" spans="1:88" s="4" customFormat="1">
      <c r="A45" s="27" t="s">
        <v>108</v>
      </c>
      <c r="B45" s="27" t="s">
        <v>109</v>
      </c>
      <c r="C45" s="28"/>
      <c r="D45" s="28">
        <f>136675.96+84177.39</f>
        <v>220853.34999999998</v>
      </c>
      <c r="E45" s="28">
        <v>453004.7</v>
      </c>
      <c r="F45" s="28">
        <v>0</v>
      </c>
      <c r="G45" s="28">
        <v>100344.82</v>
      </c>
      <c r="H45" s="28"/>
      <c r="I45" s="28">
        <f t="shared" si="3"/>
        <v>774202.87000000011</v>
      </c>
      <c r="J45" s="28">
        <f>134577.83+84177.39</f>
        <v>218755.21999999997</v>
      </c>
      <c r="K45" s="28">
        <v>446050.58</v>
      </c>
      <c r="L45" s="28">
        <v>0</v>
      </c>
      <c r="M45" s="28">
        <v>98804.42</v>
      </c>
      <c r="N45" s="28">
        <v>30250.16</v>
      </c>
      <c r="O45" s="29"/>
      <c r="P45" s="28">
        <f t="shared" si="4"/>
        <v>793860.38000000012</v>
      </c>
      <c r="Q45" s="28">
        <f>134984.79+84177.39</f>
        <v>219162.18</v>
      </c>
      <c r="R45" s="28">
        <f>447399.42</f>
        <v>447399.42</v>
      </c>
      <c r="S45" s="28">
        <v>0</v>
      </c>
      <c r="T45" s="28">
        <v>99103.2</v>
      </c>
      <c r="U45" s="28">
        <v>30250.16</v>
      </c>
      <c r="V45" s="31"/>
      <c r="W45" s="28">
        <f t="shared" si="5"/>
        <v>795914.96</v>
      </c>
      <c r="X45" s="28">
        <f t="shared" si="6"/>
        <v>2363978.21</v>
      </c>
      <c r="Y45" s="22">
        <v>221319.527</v>
      </c>
      <c r="Z45" s="22">
        <v>455117.91</v>
      </c>
      <c r="AA45" s="22">
        <v>0</v>
      </c>
      <c r="AB45" s="22">
        <v>100833.85</v>
      </c>
      <c r="AC45" s="22">
        <v>30250.16</v>
      </c>
      <c r="AD45" s="22">
        <v>0</v>
      </c>
      <c r="AE45" s="30">
        <f t="shared" si="0"/>
        <v>807521.44699999993</v>
      </c>
      <c r="AF45" s="30">
        <f t="shared" si="1"/>
        <v>3171499.6569999997</v>
      </c>
      <c r="AG45" s="22">
        <v>221319.527</v>
      </c>
      <c r="AH45" s="22">
        <v>455117.91</v>
      </c>
      <c r="AI45" s="22">
        <v>0</v>
      </c>
      <c r="AJ45" s="22">
        <v>100833.85</v>
      </c>
      <c r="AK45" s="22">
        <v>30250.16</v>
      </c>
      <c r="AL45" s="22">
        <v>0</v>
      </c>
      <c r="AM45" s="30">
        <f t="shared" si="7"/>
        <v>807521.44699999993</v>
      </c>
      <c r="AN45" s="22">
        <v>221319.527</v>
      </c>
      <c r="AO45" s="22">
        <v>455117.91</v>
      </c>
      <c r="AP45" s="22">
        <v>0</v>
      </c>
      <c r="AQ45" s="22">
        <v>100833.85</v>
      </c>
      <c r="AR45" s="22">
        <v>30250.16</v>
      </c>
      <c r="AS45" s="22">
        <v>0</v>
      </c>
      <c r="AT45" s="30">
        <f t="shared" si="8"/>
        <v>807521.44699999993</v>
      </c>
      <c r="AU45" s="30">
        <f t="shared" si="9"/>
        <v>2422564.341</v>
      </c>
      <c r="AV45" s="22">
        <v>221319.527</v>
      </c>
      <c r="AW45" s="22">
        <v>455117.91</v>
      </c>
      <c r="AX45" s="22">
        <v>0</v>
      </c>
      <c r="AY45" s="22">
        <v>100833.85</v>
      </c>
      <c r="AZ45" s="22">
        <v>30250.16</v>
      </c>
      <c r="BA45" s="22">
        <v>0</v>
      </c>
      <c r="BB45" s="22">
        <f t="shared" si="10"/>
        <v>807521.44699999993</v>
      </c>
      <c r="BC45" s="22">
        <v>221319.527</v>
      </c>
      <c r="BD45" s="22">
        <v>455117.91</v>
      </c>
      <c r="BE45" s="22">
        <v>0</v>
      </c>
      <c r="BF45" s="22">
        <v>100833.85</v>
      </c>
      <c r="BG45" s="22">
        <v>30250.16</v>
      </c>
      <c r="BH45" s="22">
        <f t="shared" si="11"/>
        <v>807521.44699999993</v>
      </c>
      <c r="BI45" s="22">
        <v>221319.527</v>
      </c>
      <c r="BJ45" s="22">
        <v>455117.91</v>
      </c>
      <c r="BK45" s="22">
        <v>0</v>
      </c>
      <c r="BL45" s="22">
        <v>100833.85</v>
      </c>
      <c r="BM45" s="22">
        <v>30250.16</v>
      </c>
      <c r="BN45" s="22">
        <f t="shared" si="12"/>
        <v>807521.44699999993</v>
      </c>
      <c r="BO45" s="22">
        <f t="shared" si="13"/>
        <v>2422564.341</v>
      </c>
      <c r="BP45" s="22">
        <f t="shared" si="2"/>
        <v>7209106.8919999981</v>
      </c>
      <c r="BQ45" s="22">
        <v>19794.11</v>
      </c>
      <c r="BR45" s="22">
        <v>113779.48</v>
      </c>
      <c r="BS45" s="22">
        <v>0</v>
      </c>
      <c r="BT45" s="22">
        <v>25208.46</v>
      </c>
      <c r="BU45" s="22">
        <v>7562.54</v>
      </c>
      <c r="BV45" s="30">
        <f t="shared" si="14"/>
        <v>166344.59</v>
      </c>
      <c r="BW45" s="22">
        <v>13512.729999999998</v>
      </c>
      <c r="BX45" s="22">
        <v>77673.140000000029</v>
      </c>
      <c r="BY45" s="22">
        <v>0</v>
      </c>
      <c r="BZ45" s="22">
        <v>17208.909999999996</v>
      </c>
      <c r="CA45" s="22">
        <v>5162.6699999999983</v>
      </c>
      <c r="CB45" s="22">
        <f t="shared" si="15"/>
        <v>113557.45000000003</v>
      </c>
      <c r="CC45" s="22">
        <v>10292.94</v>
      </c>
      <c r="CD45" s="22">
        <v>59165.33</v>
      </c>
      <c r="CE45" s="22">
        <v>0</v>
      </c>
      <c r="CF45" s="22">
        <v>13108.4</v>
      </c>
      <c r="CG45" s="22">
        <v>3932.52</v>
      </c>
      <c r="CH45" s="30">
        <f t="shared" si="16"/>
        <v>86499.19</v>
      </c>
      <c r="CI45" s="30">
        <f t="shared" si="17"/>
        <v>366401.23000000004</v>
      </c>
      <c r="CJ45" s="30">
        <f t="shared" si="18"/>
        <v>7575508.1220000004</v>
      </c>
    </row>
    <row r="46" spans="1:88" s="4" customFormat="1">
      <c r="A46" s="27" t="s">
        <v>110</v>
      </c>
      <c r="B46" s="27" t="s">
        <v>111</v>
      </c>
      <c r="C46" s="28"/>
      <c r="D46" s="28">
        <v>0</v>
      </c>
      <c r="E46" s="28">
        <v>0</v>
      </c>
      <c r="F46" s="28">
        <v>0</v>
      </c>
      <c r="G46" s="28">
        <v>0</v>
      </c>
      <c r="H46" s="28"/>
      <c r="I46" s="28">
        <f t="shared" si="3"/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9"/>
      <c r="P46" s="28">
        <f t="shared" si="4"/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31"/>
      <c r="W46" s="28">
        <f t="shared" si="5"/>
        <v>0</v>
      </c>
      <c r="X46" s="28">
        <f t="shared" si="6"/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30">
        <f t="shared" si="0"/>
        <v>0</v>
      </c>
      <c r="AF46" s="30">
        <f t="shared" si="1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30">
        <f t="shared" si="7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30">
        <f t="shared" si="8"/>
        <v>0</v>
      </c>
      <c r="AU46" s="30">
        <f t="shared" si="9"/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f t="shared" si="10"/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f t="shared" si="11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f t="shared" si="12"/>
        <v>0</v>
      </c>
      <c r="BO46" s="22">
        <f t="shared" si="13"/>
        <v>0</v>
      </c>
      <c r="BP46" s="22">
        <f t="shared" si="2"/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30">
        <f t="shared" si="14"/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f t="shared" si="15"/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30">
        <f t="shared" si="16"/>
        <v>0</v>
      </c>
      <c r="CI46" s="30">
        <f t="shared" si="17"/>
        <v>0</v>
      </c>
      <c r="CJ46" s="30">
        <f t="shared" si="18"/>
        <v>0</v>
      </c>
    </row>
    <row r="47" spans="1:88" s="4" customFormat="1">
      <c r="A47" s="27" t="s">
        <v>112</v>
      </c>
      <c r="B47" s="27" t="s">
        <v>113</v>
      </c>
      <c r="C47" s="28">
        <f>17072649.14-12115877.81</f>
        <v>4956771.33</v>
      </c>
      <c r="D47" s="28">
        <f>8495278.52+1506472.99</f>
        <v>10001751.51</v>
      </c>
      <c r="E47" s="28">
        <v>1546047.56</v>
      </c>
      <c r="F47" s="28">
        <v>31263.64</v>
      </c>
      <c r="G47" s="28">
        <v>485360.88</v>
      </c>
      <c r="H47" s="28"/>
      <c r="I47" s="28">
        <f t="shared" si="3"/>
        <v>12064423.590000002</v>
      </c>
      <c r="J47" s="28">
        <f>8364866.68+1506472.99</f>
        <v>9871339.6699999999</v>
      </c>
      <c r="K47" s="28">
        <v>1522314.03</v>
      </c>
      <c r="L47" s="28">
        <v>30783.71</v>
      </c>
      <c r="M47" s="28">
        <v>477910.06</v>
      </c>
      <c r="N47" s="28">
        <v>0</v>
      </c>
      <c r="O47" s="29">
        <f>12060878.38-11902347.47</f>
        <v>158530.91000000015</v>
      </c>
      <c r="P47" s="28">
        <f t="shared" si="4"/>
        <v>12060878.380000001</v>
      </c>
      <c r="Q47" s="28">
        <f>8390161.69+1506472.99</f>
        <v>9896634.6799999997</v>
      </c>
      <c r="R47" s="28">
        <v>1526917.45</v>
      </c>
      <c r="S47" s="28">
        <v>30876.79</v>
      </c>
      <c r="T47" s="28">
        <v>479355.24</v>
      </c>
      <c r="U47" s="28">
        <v>0</v>
      </c>
      <c r="V47" s="31">
        <v>372054.76</v>
      </c>
      <c r="W47" s="28">
        <f t="shared" si="5"/>
        <v>12305838.919999998</v>
      </c>
      <c r="X47" s="28">
        <f t="shared" si="6"/>
        <v>41387912.219999999</v>
      </c>
      <c r="Y47" s="22">
        <v>10009731.873375</v>
      </c>
      <c r="Z47" s="22">
        <v>1507644.58</v>
      </c>
      <c r="AA47" s="22">
        <v>31416</v>
      </c>
      <c r="AB47" s="22">
        <v>487726.29</v>
      </c>
      <c r="AC47" s="22">
        <v>0</v>
      </c>
      <c r="AD47" s="22">
        <v>119000</v>
      </c>
      <c r="AE47" s="30">
        <f t="shared" si="0"/>
        <v>12155518.743375</v>
      </c>
      <c r="AF47" s="30">
        <f t="shared" si="1"/>
        <v>53543430.963375002</v>
      </c>
      <c r="AG47" s="22">
        <v>10009731.873375</v>
      </c>
      <c r="AH47" s="22">
        <v>1507644.58</v>
      </c>
      <c r="AI47" s="22">
        <v>31416</v>
      </c>
      <c r="AJ47" s="22">
        <v>487726.29</v>
      </c>
      <c r="AK47" s="22">
        <v>0</v>
      </c>
      <c r="AL47" s="22">
        <v>115080</v>
      </c>
      <c r="AM47" s="30">
        <f t="shared" si="7"/>
        <v>12151598.743375</v>
      </c>
      <c r="AN47" s="22">
        <v>10009731.873375</v>
      </c>
      <c r="AO47" s="22">
        <v>1507644.58</v>
      </c>
      <c r="AP47" s="22">
        <v>31416</v>
      </c>
      <c r="AQ47" s="22">
        <v>487726.29</v>
      </c>
      <c r="AR47" s="22">
        <v>0</v>
      </c>
      <c r="AS47" s="22">
        <v>124040</v>
      </c>
      <c r="AT47" s="30">
        <f t="shared" si="8"/>
        <v>12160558.743375</v>
      </c>
      <c r="AU47" s="30">
        <f t="shared" si="9"/>
        <v>36467676.230124995</v>
      </c>
      <c r="AV47" s="22">
        <v>10009731.873375</v>
      </c>
      <c r="AW47" s="22">
        <v>1507644.58</v>
      </c>
      <c r="AX47" s="22">
        <v>31416</v>
      </c>
      <c r="AY47" s="22">
        <v>487726.29</v>
      </c>
      <c r="AZ47" s="22">
        <v>0</v>
      </c>
      <c r="BA47" s="22">
        <v>120400</v>
      </c>
      <c r="BB47" s="22">
        <f t="shared" si="10"/>
        <v>12156918.743375</v>
      </c>
      <c r="BC47" s="22">
        <v>10009731.873375</v>
      </c>
      <c r="BD47" s="22">
        <v>1507644.58</v>
      </c>
      <c r="BE47" s="22">
        <v>31416</v>
      </c>
      <c r="BF47" s="22">
        <v>487726.29</v>
      </c>
      <c r="BG47" s="22">
        <v>0</v>
      </c>
      <c r="BH47" s="22">
        <f t="shared" si="11"/>
        <v>12036518.743375</v>
      </c>
      <c r="BI47" s="22">
        <v>10009731.873375</v>
      </c>
      <c r="BJ47" s="22">
        <v>1507644.58</v>
      </c>
      <c r="BK47" s="22">
        <v>31416</v>
      </c>
      <c r="BL47" s="22">
        <v>487726.29</v>
      </c>
      <c r="BM47" s="22">
        <v>0</v>
      </c>
      <c r="BN47" s="22">
        <f t="shared" si="12"/>
        <v>12036518.743375</v>
      </c>
      <c r="BO47" s="22">
        <f t="shared" si="13"/>
        <v>36229956.230124995</v>
      </c>
      <c r="BP47" s="22">
        <f t="shared" si="2"/>
        <v>114085544.68025002</v>
      </c>
      <c r="BQ47" s="22">
        <v>2188578.48</v>
      </c>
      <c r="BR47" s="22">
        <v>376911.15</v>
      </c>
      <c r="BS47" s="22">
        <v>7854</v>
      </c>
      <c r="BT47" s="22">
        <v>121931.57</v>
      </c>
      <c r="BU47" s="22">
        <v>0</v>
      </c>
      <c r="BV47" s="30">
        <f t="shared" si="14"/>
        <v>2695275.1999999997</v>
      </c>
      <c r="BW47" s="22">
        <v>1494063.54</v>
      </c>
      <c r="BX47" s="22">
        <v>257303.62999999995</v>
      </c>
      <c r="BY47" s="22">
        <v>5361.6400000000012</v>
      </c>
      <c r="BZ47" s="22">
        <v>83238.280000000013</v>
      </c>
      <c r="CA47" s="22">
        <v>0</v>
      </c>
      <c r="CB47" s="22">
        <f t="shared" si="15"/>
        <v>1839967.0899999999</v>
      </c>
      <c r="CC47" s="22">
        <v>1138060.81</v>
      </c>
      <c r="CD47" s="22">
        <v>195993.8</v>
      </c>
      <c r="CE47" s="22">
        <v>4084.08</v>
      </c>
      <c r="CF47" s="22">
        <v>63404.42</v>
      </c>
      <c r="CG47" s="22">
        <v>0</v>
      </c>
      <c r="CH47" s="30">
        <f t="shared" si="16"/>
        <v>1401543.11</v>
      </c>
      <c r="CI47" s="30">
        <f t="shared" si="17"/>
        <v>5936785.3999999994</v>
      </c>
      <c r="CJ47" s="30">
        <f t="shared" si="18"/>
        <v>120022330.08024999</v>
      </c>
    </row>
    <row r="48" spans="1:88" s="4" customFormat="1">
      <c r="A48" s="27" t="s">
        <v>114</v>
      </c>
      <c r="B48" s="27" t="s">
        <v>115</v>
      </c>
      <c r="C48" s="28"/>
      <c r="D48" s="28">
        <v>341485.57</v>
      </c>
      <c r="E48" s="28">
        <v>0</v>
      </c>
      <c r="F48" s="28">
        <v>0</v>
      </c>
      <c r="G48" s="28">
        <v>98267.86</v>
      </c>
      <c r="H48" s="28"/>
      <c r="I48" s="28">
        <f t="shared" si="3"/>
        <v>439753.43</v>
      </c>
      <c r="J48" s="28">
        <v>336243.39</v>
      </c>
      <c r="K48" s="28">
        <v>0</v>
      </c>
      <c r="L48" s="28">
        <v>0</v>
      </c>
      <c r="M48" s="28">
        <v>96759.34</v>
      </c>
      <c r="N48" s="28">
        <v>0</v>
      </c>
      <c r="O48" s="29"/>
      <c r="P48" s="28">
        <f t="shared" si="4"/>
        <v>433002.73</v>
      </c>
      <c r="Q48" s="28">
        <v>337260.17</v>
      </c>
      <c r="R48" s="28">
        <v>0</v>
      </c>
      <c r="S48" s="28">
        <v>0</v>
      </c>
      <c r="T48" s="28">
        <v>97051.94</v>
      </c>
      <c r="U48" s="28">
        <v>0</v>
      </c>
      <c r="V48" s="31"/>
      <c r="W48" s="28">
        <f t="shared" si="5"/>
        <v>434312.11</v>
      </c>
      <c r="X48" s="28">
        <f t="shared" si="6"/>
        <v>1307068.27</v>
      </c>
      <c r="Y48" s="22">
        <v>351427.80291666667</v>
      </c>
      <c r="Z48" s="22">
        <v>0</v>
      </c>
      <c r="AA48" s="22">
        <v>0</v>
      </c>
      <c r="AB48" s="22">
        <v>98746.77</v>
      </c>
      <c r="AC48" s="22">
        <v>0</v>
      </c>
      <c r="AD48" s="22">
        <v>23800</v>
      </c>
      <c r="AE48" s="30">
        <f t="shared" si="0"/>
        <v>473974.57291666669</v>
      </c>
      <c r="AF48" s="30">
        <f t="shared" si="1"/>
        <v>1781042.8429166668</v>
      </c>
      <c r="AG48" s="22">
        <v>351427.80291666667</v>
      </c>
      <c r="AH48" s="22">
        <v>0</v>
      </c>
      <c r="AI48" s="22">
        <v>0</v>
      </c>
      <c r="AJ48" s="22">
        <v>98746.77</v>
      </c>
      <c r="AK48" s="22">
        <v>0</v>
      </c>
      <c r="AL48" s="22">
        <v>40880</v>
      </c>
      <c r="AM48" s="30">
        <f t="shared" si="7"/>
        <v>491054.57291666669</v>
      </c>
      <c r="AN48" s="22">
        <v>351427.80291666667</v>
      </c>
      <c r="AO48" s="22">
        <v>0</v>
      </c>
      <c r="AP48" s="22">
        <v>0</v>
      </c>
      <c r="AQ48" s="22">
        <v>98746.77</v>
      </c>
      <c r="AR48" s="22">
        <v>0</v>
      </c>
      <c r="AS48" s="22">
        <v>20720</v>
      </c>
      <c r="AT48" s="30">
        <f t="shared" si="8"/>
        <v>470894.57291666669</v>
      </c>
      <c r="AU48" s="30">
        <f t="shared" si="9"/>
        <v>1435923.71875</v>
      </c>
      <c r="AV48" s="22">
        <v>351427.80291666667</v>
      </c>
      <c r="AW48" s="22">
        <v>0</v>
      </c>
      <c r="AX48" s="22">
        <v>0</v>
      </c>
      <c r="AY48" s="22">
        <v>98746.77</v>
      </c>
      <c r="AZ48" s="22">
        <v>0</v>
      </c>
      <c r="BA48" s="22">
        <v>23240</v>
      </c>
      <c r="BB48" s="22">
        <f t="shared" si="10"/>
        <v>473414.57291666669</v>
      </c>
      <c r="BC48" s="22">
        <v>351427.80291666667</v>
      </c>
      <c r="BD48" s="22">
        <v>0</v>
      </c>
      <c r="BE48" s="22">
        <v>0</v>
      </c>
      <c r="BF48" s="22">
        <v>98746.77</v>
      </c>
      <c r="BG48" s="22">
        <v>0</v>
      </c>
      <c r="BH48" s="22">
        <f t="shared" si="11"/>
        <v>450174.57291666669</v>
      </c>
      <c r="BI48" s="22">
        <v>351427.80291666667</v>
      </c>
      <c r="BJ48" s="22">
        <v>0</v>
      </c>
      <c r="BK48" s="22">
        <v>0</v>
      </c>
      <c r="BL48" s="22">
        <v>98746.77</v>
      </c>
      <c r="BM48" s="22">
        <v>0</v>
      </c>
      <c r="BN48" s="22">
        <f t="shared" si="12"/>
        <v>450174.57291666669</v>
      </c>
      <c r="BO48" s="22">
        <f t="shared" si="13"/>
        <v>1373763.71875</v>
      </c>
      <c r="BP48" s="22">
        <f t="shared" si="2"/>
        <v>4116755.7074999996</v>
      </c>
      <c r="BQ48" s="22">
        <v>102770.62</v>
      </c>
      <c r="BR48" s="22">
        <v>0</v>
      </c>
      <c r="BS48" s="22">
        <v>0</v>
      </c>
      <c r="BT48" s="22">
        <v>24686.69</v>
      </c>
      <c r="BU48" s="22">
        <v>0</v>
      </c>
      <c r="BV48" s="30">
        <f t="shared" si="14"/>
        <v>127457.31</v>
      </c>
      <c r="BW48" s="22">
        <v>70157.800000000017</v>
      </c>
      <c r="BX48" s="22">
        <v>0</v>
      </c>
      <c r="BY48" s="22">
        <v>0</v>
      </c>
      <c r="BZ48" s="22">
        <v>16852.72</v>
      </c>
      <c r="CA48" s="22">
        <v>0</v>
      </c>
      <c r="CB48" s="22">
        <f t="shared" si="15"/>
        <v>87010.520000000019</v>
      </c>
      <c r="CC48" s="22">
        <v>53440.72</v>
      </c>
      <c r="CD48" s="22">
        <v>0</v>
      </c>
      <c r="CE48" s="22">
        <v>0</v>
      </c>
      <c r="CF48" s="22">
        <v>12837.08</v>
      </c>
      <c r="CG48" s="22">
        <v>0</v>
      </c>
      <c r="CH48" s="30">
        <f t="shared" si="16"/>
        <v>66277.8</v>
      </c>
      <c r="CI48" s="30">
        <f t="shared" si="17"/>
        <v>280745.63</v>
      </c>
      <c r="CJ48" s="30">
        <f t="shared" si="18"/>
        <v>4397501.3375000004</v>
      </c>
    </row>
    <row r="49" spans="1:90">
      <c r="A49" s="27" t="s">
        <v>116</v>
      </c>
      <c r="B49" s="27" t="s">
        <v>117</v>
      </c>
      <c r="C49" s="28"/>
      <c r="D49" s="28">
        <v>238929.75</v>
      </c>
      <c r="E49" s="28">
        <v>0</v>
      </c>
      <c r="F49" s="28">
        <v>156318.18</v>
      </c>
      <c r="G49" s="28">
        <v>31615.52</v>
      </c>
      <c r="H49" s="28"/>
      <c r="I49" s="28">
        <f t="shared" si="3"/>
        <v>426863.45</v>
      </c>
      <c r="J49" s="28">
        <v>235261.91</v>
      </c>
      <c r="K49" s="28">
        <v>0</v>
      </c>
      <c r="L49" s="28">
        <v>153918.53</v>
      </c>
      <c r="M49" s="28">
        <v>31130.19</v>
      </c>
      <c r="N49" s="28">
        <v>0</v>
      </c>
      <c r="O49" s="29"/>
      <c r="P49" s="28">
        <f t="shared" si="4"/>
        <v>420310.63</v>
      </c>
      <c r="Q49" s="28">
        <v>235973.33</v>
      </c>
      <c r="R49" s="28">
        <v>0</v>
      </c>
      <c r="S49" s="28">
        <v>154383.97</v>
      </c>
      <c r="T49" s="28">
        <v>31224.33</v>
      </c>
      <c r="U49" s="28">
        <v>0</v>
      </c>
      <c r="V49" s="31"/>
      <c r="W49" s="28">
        <f t="shared" si="5"/>
        <v>421581.63</v>
      </c>
      <c r="X49" s="28">
        <f t="shared" si="6"/>
        <v>1268755.71</v>
      </c>
      <c r="Y49" s="22">
        <v>257779.02149999994</v>
      </c>
      <c r="Z49" s="22">
        <v>0</v>
      </c>
      <c r="AA49" s="22">
        <v>157080</v>
      </c>
      <c r="AB49" s="22">
        <v>31769.599999999999</v>
      </c>
      <c r="AC49" s="22">
        <v>0</v>
      </c>
      <c r="AD49" s="22">
        <v>0</v>
      </c>
      <c r="AE49" s="30">
        <f t="shared" si="0"/>
        <v>446628.62149999989</v>
      </c>
      <c r="AF49" s="30">
        <f t="shared" si="1"/>
        <v>1715384.3314999999</v>
      </c>
      <c r="AG49" s="22">
        <v>257779.02149999994</v>
      </c>
      <c r="AH49" s="22">
        <v>0</v>
      </c>
      <c r="AI49" s="22">
        <v>157080</v>
      </c>
      <c r="AJ49" s="22">
        <v>44854.83</v>
      </c>
      <c r="AK49" s="22">
        <v>0</v>
      </c>
      <c r="AL49" s="22">
        <v>0</v>
      </c>
      <c r="AM49" s="30">
        <f t="shared" si="7"/>
        <v>459713.85149999993</v>
      </c>
      <c r="AN49" s="22">
        <v>257779.02149999994</v>
      </c>
      <c r="AO49" s="22">
        <v>0</v>
      </c>
      <c r="AP49" s="22">
        <v>157080</v>
      </c>
      <c r="AQ49" s="22">
        <v>31769.599999999999</v>
      </c>
      <c r="AR49" s="22">
        <v>0</v>
      </c>
      <c r="AS49" s="22">
        <v>0</v>
      </c>
      <c r="AT49" s="30">
        <f t="shared" si="8"/>
        <v>446628.62149999989</v>
      </c>
      <c r="AU49" s="30">
        <f t="shared" si="9"/>
        <v>1352971.0944999997</v>
      </c>
      <c r="AV49" s="22">
        <v>257779.02149999994</v>
      </c>
      <c r="AW49" s="22">
        <v>0</v>
      </c>
      <c r="AX49" s="22">
        <v>157080</v>
      </c>
      <c r="AY49" s="22">
        <f>31769.6+19357.32</f>
        <v>51126.92</v>
      </c>
      <c r="AZ49" s="22">
        <v>0</v>
      </c>
      <c r="BA49" s="22">
        <v>0</v>
      </c>
      <c r="BB49" s="22">
        <f t="shared" si="10"/>
        <v>465985.9414999999</v>
      </c>
      <c r="BC49" s="22">
        <v>257779.02149999994</v>
      </c>
      <c r="BD49" s="22">
        <v>0</v>
      </c>
      <c r="BE49" s="22">
        <v>157080</v>
      </c>
      <c r="BF49" s="22">
        <f>31769.6+19357.32</f>
        <v>51126.92</v>
      </c>
      <c r="BG49" s="22">
        <v>0</v>
      </c>
      <c r="BH49" s="22">
        <f t="shared" si="11"/>
        <v>465985.9414999999</v>
      </c>
      <c r="BI49" s="22">
        <v>257779.02149999994</v>
      </c>
      <c r="BJ49" s="22">
        <v>0</v>
      </c>
      <c r="BK49" s="22">
        <v>157080</v>
      </c>
      <c r="BL49" s="22">
        <v>31769.599999999999</v>
      </c>
      <c r="BM49" s="22">
        <v>0</v>
      </c>
      <c r="BN49" s="22">
        <f t="shared" si="12"/>
        <v>446628.62149999989</v>
      </c>
      <c r="BO49" s="22">
        <f t="shared" si="13"/>
        <v>1378600.5044999998</v>
      </c>
      <c r="BP49" s="22">
        <f t="shared" si="2"/>
        <v>4000327.308999999</v>
      </c>
      <c r="BQ49" s="22">
        <v>73416.759999999995</v>
      </c>
      <c r="BR49" s="22">
        <v>0</v>
      </c>
      <c r="BS49" s="22">
        <v>39270</v>
      </c>
      <c r="BT49" s="22">
        <v>7942.4</v>
      </c>
      <c r="BU49" s="22">
        <v>0</v>
      </c>
      <c r="BV49" s="30">
        <f t="shared" si="14"/>
        <v>120629.15999999999</v>
      </c>
      <c r="BW49" s="22">
        <v>50118.970000000016</v>
      </c>
      <c r="BX49" s="22">
        <v>0</v>
      </c>
      <c r="BY49" s="22">
        <v>26808.21</v>
      </c>
      <c r="BZ49" s="22">
        <v>5421.9899999999989</v>
      </c>
      <c r="CA49" s="22">
        <v>0</v>
      </c>
      <c r="CB49" s="22">
        <f t="shared" si="15"/>
        <v>82349.170000000027</v>
      </c>
      <c r="CC49" s="22">
        <v>38176.720000000001</v>
      </c>
      <c r="CD49" s="22">
        <v>0</v>
      </c>
      <c r="CE49" s="22">
        <v>20420.400000000001</v>
      </c>
      <c r="CF49" s="22">
        <v>4130.05</v>
      </c>
      <c r="CG49" s="22">
        <v>0</v>
      </c>
      <c r="CH49" s="30">
        <f t="shared" si="16"/>
        <v>62727.170000000006</v>
      </c>
      <c r="CI49" s="30">
        <f t="shared" si="17"/>
        <v>265705.5</v>
      </c>
      <c r="CJ49" s="30">
        <f t="shared" si="18"/>
        <v>4266032.8089999994</v>
      </c>
    </row>
    <row r="50" spans="1:90" ht="30">
      <c r="A50" s="27" t="s">
        <v>118</v>
      </c>
      <c r="B50" s="32" t="s">
        <v>119</v>
      </c>
      <c r="C50" s="28"/>
      <c r="D50" s="28">
        <v>0</v>
      </c>
      <c r="E50" s="28">
        <f>1470159.97-163268.85</f>
        <v>1306891.1199999999</v>
      </c>
      <c r="F50" s="28">
        <v>0</v>
      </c>
      <c r="G50" s="28">
        <v>18785.14</v>
      </c>
      <c r="H50" s="28"/>
      <c r="I50" s="28">
        <f t="shared" si="3"/>
        <v>1325676.2599999998</v>
      </c>
      <c r="J50" s="28">
        <v>0</v>
      </c>
      <c r="K50" s="28">
        <v>1447591.4</v>
      </c>
      <c r="L50" s="28">
        <v>0</v>
      </c>
      <c r="M50" s="28">
        <v>18496.77</v>
      </c>
      <c r="N50" s="28">
        <v>0</v>
      </c>
      <c r="O50" s="29"/>
      <c r="P50" s="28">
        <f t="shared" si="4"/>
        <v>1466088.17</v>
      </c>
      <c r="Q50" s="28">
        <v>0</v>
      </c>
      <c r="R50" s="28">
        <f>1451968.86+163268.85</f>
        <v>1615237.7100000002</v>
      </c>
      <c r="S50" s="28">
        <v>0</v>
      </c>
      <c r="T50" s="28">
        <v>18552.7</v>
      </c>
      <c r="U50" s="28">
        <v>0</v>
      </c>
      <c r="V50" s="31"/>
      <c r="W50" s="28">
        <f t="shared" si="5"/>
        <v>1633790.4100000001</v>
      </c>
      <c r="X50" s="28">
        <f t="shared" si="6"/>
        <v>4425554.84</v>
      </c>
      <c r="Y50" s="22">
        <v>0</v>
      </c>
      <c r="Z50" s="22">
        <v>1477324.8</v>
      </c>
      <c r="AA50" s="22">
        <v>0</v>
      </c>
      <c r="AB50" s="22">
        <v>18876.689999999999</v>
      </c>
      <c r="AC50" s="22">
        <v>0</v>
      </c>
      <c r="AD50" s="22">
        <v>0</v>
      </c>
      <c r="AE50" s="30">
        <f t="shared" si="0"/>
        <v>1496201.49</v>
      </c>
      <c r="AF50" s="30">
        <f t="shared" si="1"/>
        <v>5921756.3300000001</v>
      </c>
      <c r="AG50" s="22">
        <v>0</v>
      </c>
      <c r="AH50" s="22">
        <v>1477324.8</v>
      </c>
      <c r="AI50" s="22">
        <v>0</v>
      </c>
      <c r="AJ50" s="22">
        <v>18876.689999999999</v>
      </c>
      <c r="AK50" s="22">
        <v>0</v>
      </c>
      <c r="AL50" s="22">
        <v>0</v>
      </c>
      <c r="AM50" s="30">
        <f t="shared" si="7"/>
        <v>1496201.49</v>
      </c>
      <c r="AN50" s="22">
        <v>0</v>
      </c>
      <c r="AO50" s="22">
        <v>1477324.8</v>
      </c>
      <c r="AP50" s="22">
        <v>0</v>
      </c>
      <c r="AQ50" s="22">
        <v>18876.689999999999</v>
      </c>
      <c r="AR50" s="22">
        <v>0</v>
      </c>
      <c r="AS50" s="22">
        <v>0</v>
      </c>
      <c r="AT50" s="30">
        <f t="shared" si="8"/>
        <v>1496201.49</v>
      </c>
      <c r="AU50" s="30">
        <f t="shared" si="9"/>
        <v>4488604.47</v>
      </c>
      <c r="AV50" s="22">
        <v>0</v>
      </c>
      <c r="AW50" s="22">
        <v>1477324.8</v>
      </c>
      <c r="AX50" s="22">
        <v>0</v>
      </c>
      <c r="AY50" s="22">
        <v>18876.689999999999</v>
      </c>
      <c r="AZ50" s="22">
        <v>0</v>
      </c>
      <c r="BA50" s="22">
        <v>0</v>
      </c>
      <c r="BB50" s="22">
        <f t="shared" si="10"/>
        <v>1496201.49</v>
      </c>
      <c r="BC50" s="22">
        <v>0</v>
      </c>
      <c r="BD50" s="22">
        <v>1477324.8</v>
      </c>
      <c r="BE50" s="22">
        <v>0</v>
      </c>
      <c r="BF50" s="22">
        <v>18876.689999999999</v>
      </c>
      <c r="BG50" s="22">
        <v>0</v>
      </c>
      <c r="BH50" s="22">
        <f t="shared" si="11"/>
        <v>1496201.49</v>
      </c>
      <c r="BI50" s="22">
        <v>0</v>
      </c>
      <c r="BJ50" s="22">
        <v>1477324.8</v>
      </c>
      <c r="BK50" s="22">
        <v>0</v>
      </c>
      <c r="BL50" s="22">
        <v>18876.689999999999</v>
      </c>
      <c r="BM50" s="22">
        <v>0</v>
      </c>
      <c r="BN50" s="22">
        <f t="shared" si="12"/>
        <v>1496201.49</v>
      </c>
      <c r="BO50" s="22">
        <f t="shared" si="13"/>
        <v>4488604.47</v>
      </c>
      <c r="BP50" s="22">
        <f t="shared" si="2"/>
        <v>13402763.780000001</v>
      </c>
      <c r="BQ50" s="22">
        <v>0</v>
      </c>
      <c r="BR50" s="22">
        <v>369331.20000000001</v>
      </c>
      <c r="BS50" s="22">
        <v>0</v>
      </c>
      <c r="BT50" s="22">
        <v>4719.17</v>
      </c>
      <c r="BU50" s="22">
        <v>0</v>
      </c>
      <c r="BV50" s="30">
        <f t="shared" si="14"/>
        <v>374050.37</v>
      </c>
      <c r="BW50" s="22">
        <v>0</v>
      </c>
      <c r="BX50" s="22">
        <v>252129.09</v>
      </c>
      <c r="BY50" s="22">
        <v>0</v>
      </c>
      <c r="BZ50" s="22">
        <v>3221.61</v>
      </c>
      <c r="CA50" s="22">
        <v>0</v>
      </c>
      <c r="CB50" s="22">
        <f t="shared" si="15"/>
        <v>255350.69999999998</v>
      </c>
      <c r="CC50" s="22">
        <v>0</v>
      </c>
      <c r="CD50" s="22">
        <v>192052.22</v>
      </c>
      <c r="CE50" s="22">
        <v>0</v>
      </c>
      <c r="CF50" s="22">
        <v>2453.9699999999998</v>
      </c>
      <c r="CG50" s="22">
        <v>0</v>
      </c>
      <c r="CH50" s="30">
        <f t="shared" si="16"/>
        <v>194506.19</v>
      </c>
      <c r="CI50" s="30">
        <f t="shared" si="17"/>
        <v>823907.26</v>
      </c>
      <c r="CJ50" s="30">
        <f t="shared" si="18"/>
        <v>14226671.039999997</v>
      </c>
    </row>
    <row r="51" spans="1:90">
      <c r="A51" s="27" t="s">
        <v>120</v>
      </c>
      <c r="B51" s="27" t="s">
        <v>121</v>
      </c>
      <c r="C51" s="28"/>
      <c r="D51" s="28">
        <v>574525.73</v>
      </c>
      <c r="E51" s="28">
        <v>0</v>
      </c>
      <c r="F51" s="28">
        <v>0</v>
      </c>
      <c r="G51" s="28">
        <v>205004.72</v>
      </c>
      <c r="H51" s="28"/>
      <c r="I51" s="28">
        <f t="shared" si="3"/>
        <v>779530.45</v>
      </c>
      <c r="J51" s="28">
        <v>565706.13</v>
      </c>
      <c r="K51" s="28">
        <v>0</v>
      </c>
      <c r="L51" s="28">
        <v>0</v>
      </c>
      <c r="M51" s="28">
        <v>201857.67</v>
      </c>
      <c r="N51" s="28">
        <v>0</v>
      </c>
      <c r="O51" s="29"/>
      <c r="P51" s="28">
        <f t="shared" si="4"/>
        <v>767563.8</v>
      </c>
      <c r="Q51" s="28">
        <v>547416.80000000005</v>
      </c>
      <c r="R51" s="28">
        <v>0</v>
      </c>
      <c r="S51" s="28">
        <v>0</v>
      </c>
      <c r="T51" s="28">
        <v>222468.08</v>
      </c>
      <c r="U51" s="28">
        <v>0</v>
      </c>
      <c r="V51" s="31"/>
      <c r="W51" s="28">
        <f t="shared" si="5"/>
        <v>769884.88</v>
      </c>
      <c r="X51" s="28">
        <f t="shared" si="6"/>
        <v>2316979.13</v>
      </c>
      <c r="Y51" s="22">
        <v>782610.14625000011</v>
      </c>
      <c r="Z51" s="22">
        <v>0</v>
      </c>
      <c r="AA51" s="22">
        <v>0</v>
      </c>
      <c r="AB51" s="22">
        <v>206003.81</v>
      </c>
      <c r="AC51" s="22">
        <v>0</v>
      </c>
      <c r="AD51" s="22">
        <v>0</v>
      </c>
      <c r="AE51" s="30">
        <f t="shared" si="0"/>
        <v>988613.95625000005</v>
      </c>
      <c r="AF51" s="30">
        <f t="shared" si="1"/>
        <v>3305593.0862499997</v>
      </c>
      <c r="AG51" s="22">
        <v>782610.14625000011</v>
      </c>
      <c r="AH51" s="22">
        <v>0</v>
      </c>
      <c r="AI51" s="22">
        <v>0</v>
      </c>
      <c r="AJ51" s="22">
        <v>206003.81</v>
      </c>
      <c r="AK51" s="22">
        <v>0</v>
      </c>
      <c r="AL51" s="22">
        <v>0</v>
      </c>
      <c r="AM51" s="30">
        <f t="shared" si="7"/>
        <v>988613.95625000005</v>
      </c>
      <c r="AN51" s="22">
        <v>782610.14625000011</v>
      </c>
      <c r="AO51" s="22">
        <v>0</v>
      </c>
      <c r="AP51" s="22">
        <v>0</v>
      </c>
      <c r="AQ51" s="22">
        <v>206003.81</v>
      </c>
      <c r="AR51" s="22">
        <v>0</v>
      </c>
      <c r="AS51" s="22">
        <v>0</v>
      </c>
      <c r="AT51" s="30">
        <f t="shared" si="8"/>
        <v>988613.95625000005</v>
      </c>
      <c r="AU51" s="30">
        <f t="shared" si="9"/>
        <v>2965841.8687500004</v>
      </c>
      <c r="AV51" s="22">
        <v>782610.14625000011</v>
      </c>
      <c r="AW51" s="22">
        <v>0</v>
      </c>
      <c r="AX51" s="22">
        <v>0</v>
      </c>
      <c r="AY51" s="22">
        <v>206003.81</v>
      </c>
      <c r="AZ51" s="22">
        <v>0</v>
      </c>
      <c r="BA51" s="22">
        <v>0</v>
      </c>
      <c r="BB51" s="22">
        <f t="shared" si="10"/>
        <v>988613.95625000005</v>
      </c>
      <c r="BC51" s="22">
        <v>782610.14625000011</v>
      </c>
      <c r="BD51" s="22">
        <v>0</v>
      </c>
      <c r="BE51" s="22">
        <v>0</v>
      </c>
      <c r="BF51" s="22">
        <v>206003.81</v>
      </c>
      <c r="BG51" s="22">
        <v>0</v>
      </c>
      <c r="BH51" s="22">
        <f t="shared" si="11"/>
        <v>988613.95625000005</v>
      </c>
      <c r="BI51" s="22">
        <v>782610.14625000011</v>
      </c>
      <c r="BJ51" s="22">
        <v>0</v>
      </c>
      <c r="BK51" s="22">
        <v>0</v>
      </c>
      <c r="BL51" s="22">
        <v>206003.81</v>
      </c>
      <c r="BM51" s="22">
        <v>0</v>
      </c>
      <c r="BN51" s="22">
        <f t="shared" si="12"/>
        <v>988613.95625000005</v>
      </c>
      <c r="BO51" s="22">
        <f t="shared" si="13"/>
        <v>2965841.8687500004</v>
      </c>
      <c r="BP51" s="22">
        <f t="shared" si="2"/>
        <v>8248662.8674999988</v>
      </c>
      <c r="BQ51" s="22">
        <v>244558.14</v>
      </c>
      <c r="BR51" s="22">
        <v>0</v>
      </c>
      <c r="BS51" s="22">
        <v>0</v>
      </c>
      <c r="BT51" s="22">
        <v>51500.95</v>
      </c>
      <c r="BU51" s="22">
        <v>0</v>
      </c>
      <c r="BV51" s="30">
        <f t="shared" si="14"/>
        <v>296059.09000000003</v>
      </c>
      <c r="BW51" s="22">
        <v>166951.02000000002</v>
      </c>
      <c r="BX51" s="22">
        <v>0</v>
      </c>
      <c r="BY51" s="22">
        <v>0</v>
      </c>
      <c r="BZ51" s="22">
        <v>35157.839999999997</v>
      </c>
      <c r="CA51" s="22">
        <v>0</v>
      </c>
      <c r="CB51" s="22">
        <f t="shared" si="15"/>
        <v>202108.86000000002</v>
      </c>
      <c r="CC51" s="22">
        <v>127170.23</v>
      </c>
      <c r="CD51" s="22">
        <v>0</v>
      </c>
      <c r="CE51" s="22">
        <v>0</v>
      </c>
      <c r="CF51" s="22">
        <v>26780.5</v>
      </c>
      <c r="CG51" s="22">
        <v>0</v>
      </c>
      <c r="CH51" s="30">
        <f t="shared" si="16"/>
        <v>153950.72999999998</v>
      </c>
      <c r="CI51" s="30">
        <f t="shared" si="17"/>
        <v>652118.68000000005</v>
      </c>
      <c r="CJ51" s="30">
        <f t="shared" si="18"/>
        <v>8900781.5475000013</v>
      </c>
    </row>
    <row r="52" spans="1:90">
      <c r="A52" s="27" t="s">
        <v>122</v>
      </c>
      <c r="B52" s="27" t="s">
        <v>123</v>
      </c>
      <c r="C52" s="28"/>
      <c r="D52" s="28">
        <v>2407574.59</v>
      </c>
      <c r="E52" s="28">
        <v>0</v>
      </c>
      <c r="F52" s="28">
        <v>0</v>
      </c>
      <c r="G52" s="28">
        <v>270150.49</v>
      </c>
      <c r="H52" s="28"/>
      <c r="I52" s="28">
        <f t="shared" si="3"/>
        <v>2677725.08</v>
      </c>
      <c r="J52" s="28">
        <v>2370615.6800000002</v>
      </c>
      <c r="K52" s="28">
        <v>0</v>
      </c>
      <c r="L52" s="28">
        <v>0</v>
      </c>
      <c r="M52" s="28">
        <v>266003.38</v>
      </c>
      <c r="N52" s="28">
        <v>0</v>
      </c>
      <c r="O52" s="29"/>
      <c r="P52" s="28">
        <f t="shared" si="4"/>
        <v>2636619.06</v>
      </c>
      <c r="Q52" s="28">
        <v>2377784.31</v>
      </c>
      <c r="R52" s="28">
        <v>0</v>
      </c>
      <c r="S52" s="28">
        <v>0</v>
      </c>
      <c r="T52" s="28">
        <v>266807.77</v>
      </c>
      <c r="U52" s="28">
        <v>0</v>
      </c>
      <c r="V52" s="31"/>
      <c r="W52" s="28">
        <f t="shared" si="5"/>
        <v>2644592.08</v>
      </c>
      <c r="X52" s="28">
        <f t="shared" si="6"/>
        <v>7958936.2200000007</v>
      </c>
      <c r="Y52" s="22">
        <v>1048142.5749999998</v>
      </c>
      <c r="Z52" s="22">
        <v>0</v>
      </c>
      <c r="AA52" s="22">
        <v>0</v>
      </c>
      <c r="AB52" s="22">
        <v>271467.07</v>
      </c>
      <c r="AC52" s="22">
        <v>0</v>
      </c>
      <c r="AD52" s="22">
        <v>17080</v>
      </c>
      <c r="AE52" s="30">
        <f t="shared" si="0"/>
        <v>1336689.6449999998</v>
      </c>
      <c r="AF52" s="30">
        <f t="shared" si="1"/>
        <v>9295625.8650000002</v>
      </c>
      <c r="AG52" s="22">
        <v>1048142.5749999998</v>
      </c>
      <c r="AH52" s="22">
        <v>0</v>
      </c>
      <c r="AI52" s="22">
        <v>0</v>
      </c>
      <c r="AJ52" s="22">
        <v>271467.07</v>
      </c>
      <c r="AK52" s="22">
        <v>0</v>
      </c>
      <c r="AL52" s="22">
        <v>37800</v>
      </c>
      <c r="AM52" s="30">
        <f t="shared" si="7"/>
        <v>1357409.6449999998</v>
      </c>
      <c r="AN52" s="22">
        <v>1048142.5749999998</v>
      </c>
      <c r="AO52" s="22">
        <v>0</v>
      </c>
      <c r="AP52" s="22">
        <v>0</v>
      </c>
      <c r="AQ52" s="22">
        <v>271467.07</v>
      </c>
      <c r="AR52" s="22">
        <v>0</v>
      </c>
      <c r="AS52" s="22">
        <v>6160</v>
      </c>
      <c r="AT52" s="30">
        <f t="shared" si="8"/>
        <v>1325769.6449999998</v>
      </c>
      <c r="AU52" s="30">
        <f t="shared" si="9"/>
        <v>4019868.9349999996</v>
      </c>
      <c r="AV52" s="22">
        <v>1048142.5749999998</v>
      </c>
      <c r="AW52" s="22">
        <v>0</v>
      </c>
      <c r="AX52" s="22">
        <v>0</v>
      </c>
      <c r="AY52" s="22">
        <v>271467.07</v>
      </c>
      <c r="AZ52" s="22">
        <v>0</v>
      </c>
      <c r="BA52" s="22">
        <v>0</v>
      </c>
      <c r="BB52" s="22">
        <f t="shared" si="10"/>
        <v>1319609.6449999998</v>
      </c>
      <c r="BC52" s="22">
        <v>1048142.5749999998</v>
      </c>
      <c r="BD52" s="22">
        <v>0</v>
      </c>
      <c r="BE52" s="22">
        <v>0</v>
      </c>
      <c r="BF52" s="22">
        <v>271467.07</v>
      </c>
      <c r="BG52" s="22">
        <v>0</v>
      </c>
      <c r="BH52" s="22">
        <f t="shared" si="11"/>
        <v>1319609.6449999998</v>
      </c>
      <c r="BI52" s="22">
        <v>1048142.5749999998</v>
      </c>
      <c r="BJ52" s="22">
        <v>0</v>
      </c>
      <c r="BK52" s="22">
        <v>0</v>
      </c>
      <c r="BL52" s="22">
        <v>271467.07</v>
      </c>
      <c r="BM52" s="22">
        <v>0</v>
      </c>
      <c r="BN52" s="22">
        <f t="shared" si="12"/>
        <v>1319609.6449999998</v>
      </c>
      <c r="BO52" s="22">
        <f t="shared" si="13"/>
        <v>3958828.9349999996</v>
      </c>
      <c r="BP52" s="22">
        <f t="shared" si="2"/>
        <v>15937634.089999998</v>
      </c>
      <c r="BQ52" s="22">
        <v>734508.24</v>
      </c>
      <c r="BR52" s="22">
        <v>0</v>
      </c>
      <c r="BS52" s="22">
        <v>0</v>
      </c>
      <c r="BT52" s="22">
        <v>67866.77</v>
      </c>
      <c r="BU52" s="22">
        <v>0</v>
      </c>
      <c r="BV52" s="30">
        <f t="shared" si="14"/>
        <v>802375.01</v>
      </c>
      <c r="BW52" s="22">
        <v>501422.27</v>
      </c>
      <c r="BX52" s="22">
        <v>0</v>
      </c>
      <c r="BY52" s="22">
        <v>0</v>
      </c>
      <c r="BZ52" s="22">
        <v>46330.189999999988</v>
      </c>
      <c r="CA52" s="22">
        <v>0</v>
      </c>
      <c r="CB52" s="22">
        <f t="shared" si="15"/>
        <v>547752.46</v>
      </c>
      <c r="CC52" s="22">
        <v>381944.28</v>
      </c>
      <c r="CD52" s="22">
        <v>0</v>
      </c>
      <c r="CE52" s="22">
        <v>0</v>
      </c>
      <c r="CF52" s="22">
        <v>35290.720000000001</v>
      </c>
      <c r="CG52" s="22">
        <v>0</v>
      </c>
      <c r="CH52" s="30">
        <f t="shared" si="16"/>
        <v>417235</v>
      </c>
      <c r="CI52" s="30">
        <f t="shared" si="17"/>
        <v>1767362.47</v>
      </c>
      <c r="CJ52" s="30">
        <f t="shared" si="18"/>
        <v>17704996.559999999</v>
      </c>
    </row>
    <row r="53" spans="1:90">
      <c r="A53" s="27" t="s">
        <v>124</v>
      </c>
      <c r="B53" s="27" t="s">
        <v>125</v>
      </c>
      <c r="C53" s="28"/>
      <c r="D53" s="28">
        <v>38696.29</v>
      </c>
      <c r="E53" s="28">
        <v>0</v>
      </c>
      <c r="F53" s="28">
        <v>0</v>
      </c>
      <c r="G53" s="28">
        <v>418537.84</v>
      </c>
      <c r="H53" s="28"/>
      <c r="I53" s="28">
        <f t="shared" si="3"/>
        <v>457234.13</v>
      </c>
      <c r="J53" s="28">
        <v>38102.26</v>
      </c>
      <c r="K53" s="28">
        <v>0</v>
      </c>
      <c r="L53" s="28">
        <v>0</v>
      </c>
      <c r="M53" s="28">
        <v>412112.82</v>
      </c>
      <c r="N53" s="28">
        <v>0</v>
      </c>
      <c r="O53" s="29"/>
      <c r="P53" s="28">
        <f t="shared" si="4"/>
        <v>450215.08</v>
      </c>
      <c r="Q53" s="28">
        <v>38217.480000000003</v>
      </c>
      <c r="R53" s="28">
        <v>0</v>
      </c>
      <c r="S53" s="28">
        <v>0</v>
      </c>
      <c r="T53" s="28">
        <v>413359.03</v>
      </c>
      <c r="U53" s="28">
        <v>0</v>
      </c>
      <c r="V53" s="31"/>
      <c r="W53" s="28">
        <f t="shared" si="5"/>
        <v>451576.51</v>
      </c>
      <c r="X53" s="28">
        <f t="shared" si="6"/>
        <v>1359025.72</v>
      </c>
      <c r="Y53" s="22">
        <v>27631.25</v>
      </c>
      <c r="Z53" s="22">
        <v>0</v>
      </c>
      <c r="AA53" s="22">
        <v>0</v>
      </c>
      <c r="AB53" s="22">
        <v>420577.58</v>
      </c>
      <c r="AC53" s="22">
        <v>0</v>
      </c>
      <c r="AD53" s="22">
        <v>2800</v>
      </c>
      <c r="AE53" s="30">
        <f t="shared" si="0"/>
        <v>451008.83</v>
      </c>
      <c r="AF53" s="30">
        <f t="shared" si="1"/>
        <v>1810034.55</v>
      </c>
      <c r="AG53" s="22">
        <v>27631.25</v>
      </c>
      <c r="AH53" s="22">
        <v>0</v>
      </c>
      <c r="AI53" s="22">
        <v>0</v>
      </c>
      <c r="AJ53" s="22">
        <v>420577.58</v>
      </c>
      <c r="AK53" s="22">
        <v>0</v>
      </c>
      <c r="AL53" s="22">
        <v>76160</v>
      </c>
      <c r="AM53" s="30">
        <f t="shared" si="7"/>
        <v>524368.83000000007</v>
      </c>
      <c r="AN53" s="22">
        <v>27631.25</v>
      </c>
      <c r="AO53" s="22">
        <v>0</v>
      </c>
      <c r="AP53" s="22">
        <v>0</v>
      </c>
      <c r="AQ53" s="22">
        <v>420577.58</v>
      </c>
      <c r="AR53" s="22">
        <v>0</v>
      </c>
      <c r="AS53" s="31">
        <v>32480</v>
      </c>
      <c r="AT53" s="30">
        <f t="shared" si="8"/>
        <v>480688.83</v>
      </c>
      <c r="AU53" s="30">
        <f t="shared" si="9"/>
        <v>1456066.4900000002</v>
      </c>
      <c r="AV53" s="22">
        <v>27631.25</v>
      </c>
      <c r="AW53" s="22">
        <v>0</v>
      </c>
      <c r="AX53" s="22">
        <v>0</v>
      </c>
      <c r="AY53" s="22">
        <v>420577.58</v>
      </c>
      <c r="AZ53" s="22">
        <v>0</v>
      </c>
      <c r="BA53" s="22">
        <v>21560</v>
      </c>
      <c r="BB53" s="22">
        <f t="shared" si="10"/>
        <v>469768.83</v>
      </c>
      <c r="BC53" s="22">
        <v>27631.25</v>
      </c>
      <c r="BD53" s="22">
        <v>0</v>
      </c>
      <c r="BE53" s="22">
        <v>0</v>
      </c>
      <c r="BF53" s="22">
        <v>420577.58</v>
      </c>
      <c r="BG53" s="22">
        <v>0</v>
      </c>
      <c r="BH53" s="22">
        <f t="shared" si="11"/>
        <v>448208.83</v>
      </c>
      <c r="BI53" s="22">
        <v>27631.25</v>
      </c>
      <c r="BJ53" s="22">
        <v>0</v>
      </c>
      <c r="BK53" s="22">
        <v>0</v>
      </c>
      <c r="BL53" s="22">
        <v>420577.58</v>
      </c>
      <c r="BM53" s="22">
        <v>0</v>
      </c>
      <c r="BN53" s="22">
        <f t="shared" si="12"/>
        <v>448208.83</v>
      </c>
      <c r="BO53" s="22">
        <f t="shared" si="13"/>
        <v>1366186.49</v>
      </c>
      <c r="BP53" s="22">
        <f t="shared" si="2"/>
        <v>4181278.7</v>
      </c>
      <c r="BQ53" s="22">
        <v>9032.44</v>
      </c>
      <c r="BR53" s="22">
        <v>0</v>
      </c>
      <c r="BS53" s="22">
        <v>0</v>
      </c>
      <c r="BT53" s="22">
        <v>105144.4</v>
      </c>
      <c r="BU53" s="22">
        <v>0</v>
      </c>
      <c r="BV53" s="30">
        <f t="shared" si="14"/>
        <v>114176.84</v>
      </c>
      <c r="BW53" s="22">
        <v>6166.1099999999979</v>
      </c>
      <c r="BX53" s="22">
        <v>0</v>
      </c>
      <c r="BY53" s="22">
        <v>0</v>
      </c>
      <c r="BZ53" s="22">
        <v>71778.28</v>
      </c>
      <c r="CA53" s="22">
        <v>0</v>
      </c>
      <c r="CB53" s="22">
        <f t="shared" si="15"/>
        <v>77944.39</v>
      </c>
      <c r="CC53" s="22">
        <v>4696.87</v>
      </c>
      <c r="CD53" s="22">
        <v>0</v>
      </c>
      <c r="CE53" s="22">
        <v>0</v>
      </c>
      <c r="CF53" s="22">
        <v>54675.09</v>
      </c>
      <c r="CG53" s="22">
        <v>0</v>
      </c>
      <c r="CH53" s="30">
        <f t="shared" si="16"/>
        <v>59371.96</v>
      </c>
      <c r="CI53" s="30">
        <f t="shared" si="17"/>
        <v>251493.18999999997</v>
      </c>
      <c r="CJ53" s="30">
        <f t="shared" si="18"/>
        <v>4432771.8900000006</v>
      </c>
    </row>
    <row r="54" spans="1:90">
      <c r="A54" s="27" t="s">
        <v>126</v>
      </c>
      <c r="B54" s="27" t="s">
        <v>127</v>
      </c>
      <c r="C54" s="28"/>
      <c r="D54" s="28">
        <v>0</v>
      </c>
      <c r="E54" s="28">
        <v>0</v>
      </c>
      <c r="F54" s="28">
        <v>0</v>
      </c>
      <c r="G54" s="28">
        <v>0</v>
      </c>
      <c r="H54" s="28"/>
      <c r="I54" s="28">
        <f t="shared" si="3"/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9"/>
      <c r="P54" s="28">
        <f t="shared" si="4"/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31"/>
      <c r="W54" s="28">
        <f t="shared" si="5"/>
        <v>0</v>
      </c>
      <c r="X54" s="28">
        <f t="shared" si="6"/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30">
        <f t="shared" si="0"/>
        <v>0</v>
      </c>
      <c r="AF54" s="30">
        <f t="shared" si="1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30">
        <f t="shared" si="7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30">
        <f t="shared" si="8"/>
        <v>0</v>
      </c>
      <c r="AU54" s="30">
        <f t="shared" si="9"/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f t="shared" si="10"/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f t="shared" si="11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f t="shared" si="12"/>
        <v>0</v>
      </c>
      <c r="BO54" s="22">
        <f t="shared" si="13"/>
        <v>0</v>
      </c>
      <c r="BP54" s="22">
        <f t="shared" si="2"/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30">
        <f t="shared" si="14"/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f t="shared" si="15"/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30">
        <f t="shared" si="16"/>
        <v>0</v>
      </c>
      <c r="CI54" s="30">
        <f t="shared" si="17"/>
        <v>0</v>
      </c>
      <c r="CJ54" s="30">
        <f t="shared" si="18"/>
        <v>0</v>
      </c>
    </row>
    <row r="55" spans="1:90">
      <c r="A55" s="27" t="s">
        <v>128</v>
      </c>
      <c r="B55" s="27" t="s">
        <v>129</v>
      </c>
      <c r="C55" s="28"/>
      <c r="D55" s="28">
        <f>1293498.65-344373.17</f>
        <v>949125.48</v>
      </c>
      <c r="E55" s="28">
        <v>70751.19</v>
      </c>
      <c r="F55" s="28">
        <v>0</v>
      </c>
      <c r="G55" s="28">
        <v>5680.34</v>
      </c>
      <c r="H55" s="28"/>
      <c r="I55" s="28">
        <f t="shared" si="3"/>
        <v>1025557.0099999999</v>
      </c>
      <c r="J55" s="28">
        <f>1273642.03-84651.31</f>
        <v>1188990.72</v>
      </c>
      <c r="K55" s="28">
        <v>69665.09</v>
      </c>
      <c r="L55" s="28">
        <v>0</v>
      </c>
      <c r="M55" s="28">
        <v>5593.14</v>
      </c>
      <c r="N55" s="28">
        <v>0</v>
      </c>
      <c r="O55" s="29"/>
      <c r="P55" s="28">
        <f t="shared" si="4"/>
        <v>1264248.95</v>
      </c>
      <c r="Q55" s="28">
        <f>1277493.47-240305.91+55932.88</f>
        <v>1093120.44</v>
      </c>
      <c r="R55" s="28">
        <v>69875.75</v>
      </c>
      <c r="S55" s="28">
        <v>0</v>
      </c>
      <c r="T55" s="28">
        <v>5610.05</v>
      </c>
      <c r="U55" s="28">
        <v>0</v>
      </c>
      <c r="V55" s="31"/>
      <c r="W55" s="28">
        <f t="shared" si="5"/>
        <v>1168606.24</v>
      </c>
      <c r="X55" s="28">
        <f t="shared" si="6"/>
        <v>3458412.2</v>
      </c>
      <c r="Y55" s="22">
        <f>909694.093541667+240305.91-65018.03</f>
        <v>1084981.973541667</v>
      </c>
      <c r="Z55" s="22">
        <v>75354.679999999993</v>
      </c>
      <c r="AA55" s="22">
        <v>0</v>
      </c>
      <c r="AB55" s="22">
        <v>5708.02</v>
      </c>
      <c r="AC55" s="22">
        <v>0</v>
      </c>
      <c r="AD55" s="22">
        <v>0</v>
      </c>
      <c r="AE55" s="30">
        <f t="shared" si="0"/>
        <v>1166044.6735416669</v>
      </c>
      <c r="AF55" s="30">
        <f t="shared" si="1"/>
        <v>4624456.8735416671</v>
      </c>
      <c r="AG55" s="22">
        <v>1161258.453541667</v>
      </c>
      <c r="AH55" s="22">
        <v>75354.679999999993</v>
      </c>
      <c r="AI55" s="22">
        <v>0</v>
      </c>
      <c r="AJ55" s="22">
        <v>5708.02</v>
      </c>
      <c r="AK55" s="22">
        <v>0</v>
      </c>
      <c r="AL55" s="22">
        <v>0</v>
      </c>
      <c r="AM55" s="30">
        <f t="shared" si="7"/>
        <v>1242321.1535416669</v>
      </c>
      <c r="AN55" s="22">
        <v>1096239.3635416671</v>
      </c>
      <c r="AO55" s="22">
        <v>75354.679999999993</v>
      </c>
      <c r="AP55" s="22">
        <v>0</v>
      </c>
      <c r="AQ55" s="22">
        <v>5708.02</v>
      </c>
      <c r="AR55" s="22">
        <v>0</v>
      </c>
      <c r="AS55" s="22">
        <v>0</v>
      </c>
      <c r="AT55" s="30">
        <f t="shared" si="8"/>
        <v>1177302.0635416671</v>
      </c>
      <c r="AU55" s="30">
        <f t="shared" si="9"/>
        <v>3585667.8906250009</v>
      </c>
      <c r="AV55" s="22">
        <f>909694.093541667+351031</f>
        <v>1260725.0935416669</v>
      </c>
      <c r="AW55" s="22">
        <v>75354.679999999993</v>
      </c>
      <c r="AX55" s="22">
        <v>0</v>
      </c>
      <c r="AY55" s="22">
        <v>5708.02</v>
      </c>
      <c r="AZ55" s="22">
        <v>0</v>
      </c>
      <c r="BA55" s="22">
        <v>0</v>
      </c>
      <c r="BB55" s="22">
        <f t="shared" si="10"/>
        <v>1341787.7935416668</v>
      </c>
      <c r="BC55" s="22">
        <f>909694.093541667-351031+300000</f>
        <v>858663.09354166698</v>
      </c>
      <c r="BD55" s="22">
        <v>75354.679999999993</v>
      </c>
      <c r="BE55" s="22">
        <v>0</v>
      </c>
      <c r="BF55" s="22">
        <v>5708.02</v>
      </c>
      <c r="BG55" s="22">
        <v>0</v>
      </c>
      <c r="BH55" s="22">
        <f t="shared" si="11"/>
        <v>939725.79354166705</v>
      </c>
      <c r="BI55" s="22">
        <f>909694.093541667-300000</f>
        <v>609694.09354166698</v>
      </c>
      <c r="BJ55" s="22">
        <v>75354.679999999993</v>
      </c>
      <c r="BK55" s="22">
        <v>0</v>
      </c>
      <c r="BL55" s="22">
        <v>5708.02</v>
      </c>
      <c r="BM55" s="22">
        <v>0</v>
      </c>
      <c r="BN55" s="22">
        <f t="shared" si="12"/>
        <v>690756.79354166705</v>
      </c>
      <c r="BO55" s="22">
        <f t="shared" si="13"/>
        <v>2972270.3806250012</v>
      </c>
      <c r="BP55" s="22">
        <f t="shared" si="2"/>
        <v>10016350.471250001</v>
      </c>
      <c r="BQ55" s="22">
        <v>362888.62</v>
      </c>
      <c r="BR55" s="22">
        <v>18838.669999999998</v>
      </c>
      <c r="BS55" s="22">
        <v>0</v>
      </c>
      <c r="BT55" s="22">
        <v>1427.01</v>
      </c>
      <c r="BU55" s="22">
        <v>0</v>
      </c>
      <c r="BV55" s="30">
        <f t="shared" si="14"/>
        <v>383154.3</v>
      </c>
      <c r="BW55" s="22">
        <v>247730.97000000006</v>
      </c>
      <c r="BX55" s="22">
        <v>12860.480000000003</v>
      </c>
      <c r="BY55" s="22">
        <v>0</v>
      </c>
      <c r="BZ55" s="22">
        <v>974.16000000000008</v>
      </c>
      <c r="CA55" s="22">
        <v>0</v>
      </c>
      <c r="CB55" s="22">
        <f t="shared" si="15"/>
        <v>261565.61000000007</v>
      </c>
      <c r="CC55" s="22">
        <v>188702.07999999999</v>
      </c>
      <c r="CD55" s="22">
        <v>9796.11</v>
      </c>
      <c r="CE55" s="22">
        <v>0</v>
      </c>
      <c r="CF55" s="22">
        <v>742.04</v>
      </c>
      <c r="CG55" s="22">
        <v>0</v>
      </c>
      <c r="CH55" s="30">
        <f t="shared" si="16"/>
        <v>199240.23</v>
      </c>
      <c r="CI55" s="30">
        <f t="shared" si="17"/>
        <v>843960.14</v>
      </c>
      <c r="CJ55" s="30">
        <f t="shared" si="18"/>
        <v>10860310.611250002</v>
      </c>
      <c r="CL55" s="6"/>
    </row>
    <row r="56" spans="1:90">
      <c r="A56" s="27" t="s">
        <v>130</v>
      </c>
      <c r="B56" s="27" t="s">
        <v>131</v>
      </c>
      <c r="C56" s="28"/>
      <c r="D56" s="28">
        <v>144516.82999999999</v>
      </c>
      <c r="E56" s="28">
        <v>0</v>
      </c>
      <c r="F56" s="28">
        <v>0</v>
      </c>
      <c r="G56" s="28">
        <v>0</v>
      </c>
      <c r="H56" s="28"/>
      <c r="I56" s="28">
        <f t="shared" si="3"/>
        <v>144516.82999999999</v>
      </c>
      <c r="J56" s="28">
        <v>142298.32999999999</v>
      </c>
      <c r="K56" s="28">
        <v>0</v>
      </c>
      <c r="L56" s="28">
        <v>0</v>
      </c>
      <c r="M56" s="28">
        <v>0</v>
      </c>
      <c r="N56" s="28">
        <v>0</v>
      </c>
      <c r="O56" s="29"/>
      <c r="P56" s="28">
        <f t="shared" si="4"/>
        <v>142298.32999999999</v>
      </c>
      <c r="Q56" s="28">
        <v>142728.64000000001</v>
      </c>
      <c r="R56" s="28">
        <v>0</v>
      </c>
      <c r="S56" s="28">
        <v>0</v>
      </c>
      <c r="T56" s="28">
        <v>0</v>
      </c>
      <c r="U56" s="28">
        <v>0</v>
      </c>
      <c r="V56" s="31"/>
      <c r="W56" s="28">
        <f t="shared" si="5"/>
        <v>142728.64000000001</v>
      </c>
      <c r="X56" s="28">
        <f t="shared" si="6"/>
        <v>429543.8</v>
      </c>
      <c r="Y56" s="22">
        <v>175960.125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30">
        <f t="shared" si="0"/>
        <v>175960.125</v>
      </c>
      <c r="AF56" s="30">
        <f t="shared" si="1"/>
        <v>605503.92500000005</v>
      </c>
      <c r="AG56" s="22">
        <v>175960.125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30">
        <f t="shared" si="7"/>
        <v>175960.125</v>
      </c>
      <c r="AN56" s="22">
        <v>175960.125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30">
        <f t="shared" si="8"/>
        <v>175960.125</v>
      </c>
      <c r="AU56" s="30">
        <f t="shared" si="9"/>
        <v>527880.375</v>
      </c>
      <c r="AV56" s="22">
        <v>175960.125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f t="shared" si="10"/>
        <v>175960.125</v>
      </c>
      <c r="BC56" s="22">
        <v>175960.125</v>
      </c>
      <c r="BD56" s="22">
        <v>0</v>
      </c>
      <c r="BE56" s="22">
        <v>0</v>
      </c>
      <c r="BF56" s="22">
        <v>0</v>
      </c>
      <c r="BG56" s="22">
        <v>0</v>
      </c>
      <c r="BH56" s="22">
        <f t="shared" si="11"/>
        <v>175960.125</v>
      </c>
      <c r="BI56" s="22">
        <v>175960.125</v>
      </c>
      <c r="BJ56" s="22">
        <v>0</v>
      </c>
      <c r="BK56" s="22">
        <v>0</v>
      </c>
      <c r="BL56" s="22">
        <v>0</v>
      </c>
      <c r="BM56" s="22">
        <v>0</v>
      </c>
      <c r="BN56" s="22">
        <f t="shared" si="12"/>
        <v>175960.125</v>
      </c>
      <c r="BO56" s="22">
        <f t="shared" si="13"/>
        <v>527880.375</v>
      </c>
      <c r="BP56" s="22">
        <f t="shared" si="2"/>
        <v>1485304.55</v>
      </c>
      <c r="BQ56" s="22">
        <v>55123.31</v>
      </c>
      <c r="BR56" s="22">
        <v>0</v>
      </c>
      <c r="BS56" s="22">
        <v>0</v>
      </c>
      <c r="BT56" s="22">
        <v>0</v>
      </c>
      <c r="BU56" s="22">
        <v>0</v>
      </c>
      <c r="BV56" s="30">
        <f t="shared" si="14"/>
        <v>55123.31</v>
      </c>
      <c r="BW56" s="22">
        <v>37630.700000000012</v>
      </c>
      <c r="BX56" s="22">
        <v>0</v>
      </c>
      <c r="BY56" s="22">
        <v>0</v>
      </c>
      <c r="BZ56" s="22">
        <v>0</v>
      </c>
      <c r="CA56" s="22">
        <v>0</v>
      </c>
      <c r="CB56" s="22">
        <f t="shared" si="15"/>
        <v>37630.700000000012</v>
      </c>
      <c r="CC56" s="22">
        <v>28664.12</v>
      </c>
      <c r="CD56" s="22">
        <v>0</v>
      </c>
      <c r="CE56" s="22">
        <v>0</v>
      </c>
      <c r="CF56" s="22">
        <v>0</v>
      </c>
      <c r="CG56" s="22">
        <v>0</v>
      </c>
      <c r="CH56" s="30">
        <f t="shared" si="16"/>
        <v>28664.12</v>
      </c>
      <c r="CI56" s="30">
        <f t="shared" si="17"/>
        <v>121418.13</v>
      </c>
      <c r="CJ56" s="30">
        <f t="shared" si="18"/>
        <v>1606722.6800000002</v>
      </c>
    </row>
    <row r="57" spans="1:90">
      <c r="A57" s="27" t="s">
        <v>132</v>
      </c>
      <c r="B57" s="27" t="s">
        <v>133</v>
      </c>
      <c r="C57" s="28"/>
      <c r="D57" s="28">
        <v>0</v>
      </c>
      <c r="E57" s="28">
        <v>0</v>
      </c>
      <c r="F57" s="28">
        <v>0</v>
      </c>
      <c r="G57" s="28">
        <v>362166.53</v>
      </c>
      <c r="H57" s="28"/>
      <c r="I57" s="28">
        <f t="shared" si="3"/>
        <v>362166.53</v>
      </c>
      <c r="J57" s="28">
        <v>0</v>
      </c>
      <c r="K57" s="28">
        <v>0</v>
      </c>
      <c r="L57" s="28">
        <v>0</v>
      </c>
      <c r="M57" s="28">
        <v>356606.88</v>
      </c>
      <c r="N57" s="28">
        <v>0</v>
      </c>
      <c r="O57" s="29"/>
      <c r="P57" s="28">
        <f t="shared" si="4"/>
        <v>356606.88</v>
      </c>
      <c r="Q57" s="28">
        <v>0</v>
      </c>
      <c r="R57" s="28">
        <v>0</v>
      </c>
      <c r="S57" s="28">
        <v>0</v>
      </c>
      <c r="T57" s="28">
        <v>357685.24</v>
      </c>
      <c r="U57" s="28">
        <v>0</v>
      </c>
      <c r="V57" s="31"/>
      <c r="W57" s="28">
        <f t="shared" si="5"/>
        <v>357685.24</v>
      </c>
      <c r="X57" s="28">
        <f t="shared" si="6"/>
        <v>1076458.6499999999</v>
      </c>
      <c r="Y57" s="22">
        <v>0</v>
      </c>
      <c r="Z57" s="22">
        <v>0</v>
      </c>
      <c r="AA57" s="22">
        <v>0</v>
      </c>
      <c r="AB57" s="22">
        <v>363931.55</v>
      </c>
      <c r="AC57" s="22">
        <v>0</v>
      </c>
      <c r="AD57" s="22">
        <v>0</v>
      </c>
      <c r="AE57" s="30">
        <f t="shared" si="0"/>
        <v>363931.55</v>
      </c>
      <c r="AF57" s="30">
        <f t="shared" si="1"/>
        <v>1440390.2</v>
      </c>
      <c r="AG57" s="22">
        <v>0</v>
      </c>
      <c r="AH57" s="22">
        <v>0</v>
      </c>
      <c r="AI57" s="22">
        <v>0</v>
      </c>
      <c r="AJ57" s="22">
        <v>363931.55</v>
      </c>
      <c r="AK57" s="22">
        <v>0</v>
      </c>
      <c r="AL57" s="22">
        <v>7280</v>
      </c>
      <c r="AM57" s="30">
        <f t="shared" si="7"/>
        <v>371211.55</v>
      </c>
      <c r="AN57" s="22">
        <v>0</v>
      </c>
      <c r="AO57" s="22">
        <v>0</v>
      </c>
      <c r="AP57" s="22">
        <v>0</v>
      </c>
      <c r="AQ57" s="22">
        <v>363931.55</v>
      </c>
      <c r="AR57" s="22">
        <v>0</v>
      </c>
      <c r="AS57" s="22">
        <v>54320</v>
      </c>
      <c r="AT57" s="30">
        <f t="shared" si="8"/>
        <v>418251.55</v>
      </c>
      <c r="AU57" s="30">
        <f t="shared" si="9"/>
        <v>1153394.6499999999</v>
      </c>
      <c r="AV57" s="22">
        <v>0</v>
      </c>
      <c r="AW57" s="22">
        <v>0</v>
      </c>
      <c r="AX57" s="22">
        <v>0</v>
      </c>
      <c r="AY57" s="22">
        <v>363931.55</v>
      </c>
      <c r="AZ57" s="22">
        <v>0</v>
      </c>
      <c r="BA57" s="22">
        <v>17080</v>
      </c>
      <c r="BB57" s="22">
        <f t="shared" si="10"/>
        <v>381011.55</v>
      </c>
      <c r="BC57" s="22">
        <v>0</v>
      </c>
      <c r="BD57" s="22">
        <v>0</v>
      </c>
      <c r="BE57" s="22">
        <v>0</v>
      </c>
      <c r="BF57" s="22">
        <v>363931.55</v>
      </c>
      <c r="BG57" s="22">
        <v>0</v>
      </c>
      <c r="BH57" s="22">
        <f t="shared" si="11"/>
        <v>363931.55</v>
      </c>
      <c r="BI57" s="22">
        <v>0</v>
      </c>
      <c r="BJ57" s="22">
        <v>0</v>
      </c>
      <c r="BK57" s="22">
        <v>0</v>
      </c>
      <c r="BL57" s="22">
        <v>363931.55</v>
      </c>
      <c r="BM57" s="22">
        <v>0</v>
      </c>
      <c r="BN57" s="22">
        <f t="shared" si="12"/>
        <v>363931.55</v>
      </c>
      <c r="BO57" s="22">
        <f t="shared" si="13"/>
        <v>1108874.6499999999</v>
      </c>
      <c r="BP57" s="22">
        <f t="shared" si="2"/>
        <v>3338727.9499999993</v>
      </c>
      <c r="BQ57" s="22">
        <v>0</v>
      </c>
      <c r="BR57" s="22">
        <v>0</v>
      </c>
      <c r="BS57" s="22">
        <v>0</v>
      </c>
      <c r="BT57" s="22">
        <v>90982.89</v>
      </c>
      <c r="BU57" s="22">
        <v>0</v>
      </c>
      <c r="BV57" s="30">
        <f t="shared" si="14"/>
        <v>90982.89</v>
      </c>
      <c r="BW57" s="22">
        <v>0</v>
      </c>
      <c r="BX57" s="22">
        <v>0</v>
      </c>
      <c r="BY57" s="22">
        <v>0</v>
      </c>
      <c r="BZ57" s="22">
        <v>62110.73</v>
      </c>
      <c r="CA57" s="22">
        <v>0</v>
      </c>
      <c r="CB57" s="22">
        <f t="shared" si="15"/>
        <v>62110.73</v>
      </c>
      <c r="CC57" s="22">
        <v>0</v>
      </c>
      <c r="CD57" s="22">
        <v>0</v>
      </c>
      <c r="CE57" s="22">
        <v>0</v>
      </c>
      <c r="CF57" s="22">
        <v>47311.1</v>
      </c>
      <c r="CG57" s="22">
        <v>0</v>
      </c>
      <c r="CH57" s="30">
        <f t="shared" si="16"/>
        <v>47311.1</v>
      </c>
      <c r="CI57" s="30">
        <f t="shared" si="17"/>
        <v>200404.72</v>
      </c>
      <c r="CJ57" s="30">
        <f t="shared" si="18"/>
        <v>3539132.67</v>
      </c>
    </row>
    <row r="58" spans="1:90">
      <c r="A58" s="27" t="s">
        <v>134</v>
      </c>
      <c r="B58" s="27" t="s">
        <v>135</v>
      </c>
      <c r="C58" s="28"/>
      <c r="D58" s="28">
        <v>340409.4</v>
      </c>
      <c r="E58" s="28">
        <v>0</v>
      </c>
      <c r="F58" s="28">
        <v>0</v>
      </c>
      <c r="G58" s="28">
        <v>33340.17</v>
      </c>
      <c r="H58" s="28"/>
      <c r="I58" s="28">
        <f t="shared" si="3"/>
        <v>373749.57</v>
      </c>
      <c r="J58" s="28">
        <v>335183.74</v>
      </c>
      <c r="K58" s="28">
        <v>0</v>
      </c>
      <c r="L58" s="28">
        <v>0</v>
      </c>
      <c r="M58" s="28">
        <v>32828.36</v>
      </c>
      <c r="N58" s="28">
        <v>0</v>
      </c>
      <c r="O58" s="29"/>
      <c r="P58" s="28">
        <f t="shared" si="4"/>
        <v>368012.1</v>
      </c>
      <c r="Q58" s="28">
        <v>336197.33</v>
      </c>
      <c r="R58" s="28">
        <v>0</v>
      </c>
      <c r="S58" s="28">
        <v>0</v>
      </c>
      <c r="T58" s="28">
        <v>32927.629999999997</v>
      </c>
      <c r="U58" s="28">
        <v>0</v>
      </c>
      <c r="V58" s="31"/>
      <c r="W58" s="28">
        <f t="shared" si="5"/>
        <v>369124.96</v>
      </c>
      <c r="X58" s="28">
        <f t="shared" si="6"/>
        <v>1110886.6299999999</v>
      </c>
      <c r="Y58" s="22">
        <f>389587.96+63599.27</f>
        <v>453187.23000000004</v>
      </c>
      <c r="Z58" s="22">
        <v>0</v>
      </c>
      <c r="AA58" s="22">
        <v>0</v>
      </c>
      <c r="AB58" s="22">
        <v>33502.65</v>
      </c>
      <c r="AC58" s="22">
        <v>0</v>
      </c>
      <c r="AD58" s="22">
        <v>0</v>
      </c>
      <c r="AE58" s="30">
        <f t="shared" si="0"/>
        <v>486689.88000000006</v>
      </c>
      <c r="AF58" s="30">
        <f t="shared" si="1"/>
        <v>1597576.51</v>
      </c>
      <c r="AG58" s="22">
        <v>453187.23300000001</v>
      </c>
      <c r="AH58" s="22">
        <v>0</v>
      </c>
      <c r="AI58" s="22">
        <v>0</v>
      </c>
      <c r="AJ58" s="22">
        <v>36995.200000000004</v>
      </c>
      <c r="AK58" s="22">
        <v>0</v>
      </c>
      <c r="AL58" s="22">
        <v>0</v>
      </c>
      <c r="AM58" s="30">
        <f t="shared" si="7"/>
        <v>490182.43300000002</v>
      </c>
      <c r="AN58" s="22">
        <v>389587.96</v>
      </c>
      <c r="AO58" s="22">
        <v>0</v>
      </c>
      <c r="AP58" s="22">
        <v>0</v>
      </c>
      <c r="AQ58" s="22">
        <v>33502.65</v>
      </c>
      <c r="AR58" s="22">
        <v>0</v>
      </c>
      <c r="AS58" s="22">
        <v>0</v>
      </c>
      <c r="AT58" s="30">
        <f t="shared" si="8"/>
        <v>423090.61000000004</v>
      </c>
      <c r="AU58" s="30">
        <f t="shared" si="9"/>
        <v>1399962.9230000002</v>
      </c>
      <c r="AV58" s="22">
        <f>339587.96+50000</f>
        <v>389587.96</v>
      </c>
      <c r="AW58" s="22">
        <v>0</v>
      </c>
      <c r="AX58" s="22">
        <v>0</v>
      </c>
      <c r="AY58" s="22">
        <v>33502.65</v>
      </c>
      <c r="AZ58" s="22">
        <v>0</v>
      </c>
      <c r="BA58" s="22">
        <v>0</v>
      </c>
      <c r="BB58" s="22">
        <f t="shared" si="10"/>
        <v>423090.61000000004</v>
      </c>
      <c r="BC58" s="22">
        <f>339587.96+50000+33000</f>
        <v>422587.96</v>
      </c>
      <c r="BD58" s="22">
        <v>0</v>
      </c>
      <c r="BE58" s="22">
        <v>0</v>
      </c>
      <c r="BF58" s="22">
        <f>33502.65+3269.51</f>
        <v>36772.160000000003</v>
      </c>
      <c r="BG58" s="22">
        <v>0</v>
      </c>
      <c r="BH58" s="22">
        <f t="shared" si="11"/>
        <v>459360.12</v>
      </c>
      <c r="BI58" s="22">
        <f>339587.96+50000</f>
        <v>389587.96</v>
      </c>
      <c r="BJ58" s="22">
        <v>0</v>
      </c>
      <c r="BK58" s="22">
        <v>0</v>
      </c>
      <c r="BL58" s="22">
        <v>33502.65</v>
      </c>
      <c r="BM58" s="22">
        <v>0</v>
      </c>
      <c r="BN58" s="22">
        <f t="shared" si="12"/>
        <v>423090.61000000004</v>
      </c>
      <c r="BO58" s="22">
        <f t="shared" si="13"/>
        <v>1305541.3400000001</v>
      </c>
      <c r="BP58" s="22">
        <f t="shared" si="2"/>
        <v>3816390.8929999997</v>
      </c>
      <c r="BQ58" s="22">
        <v>79697.540000000008</v>
      </c>
      <c r="BR58" s="22">
        <v>0</v>
      </c>
      <c r="BS58" s="22">
        <v>0</v>
      </c>
      <c r="BT58" s="22">
        <v>8375.66</v>
      </c>
      <c r="BU58" s="22">
        <v>0</v>
      </c>
      <c r="BV58" s="30">
        <f t="shared" si="14"/>
        <v>88073.200000000012</v>
      </c>
      <c r="BW58" s="22">
        <v>57343.64</v>
      </c>
      <c r="BX58" s="22">
        <v>0</v>
      </c>
      <c r="BY58" s="22">
        <v>0</v>
      </c>
      <c r="BZ58" s="22">
        <v>5717.77</v>
      </c>
      <c r="CA58" s="22">
        <v>0</v>
      </c>
      <c r="CB58" s="22">
        <f t="shared" si="15"/>
        <v>63061.41</v>
      </c>
      <c r="CC58" s="22">
        <v>48914.34</v>
      </c>
      <c r="CD58" s="22">
        <v>0</v>
      </c>
      <c r="CE58" s="22">
        <v>0</v>
      </c>
      <c r="CF58" s="22">
        <v>4355.34</v>
      </c>
      <c r="CG58" s="22">
        <v>0</v>
      </c>
      <c r="CH58" s="30">
        <f t="shared" si="16"/>
        <v>53269.679999999993</v>
      </c>
      <c r="CI58" s="30">
        <f t="shared" si="17"/>
        <v>204404.29</v>
      </c>
      <c r="CJ58" s="30">
        <f t="shared" si="18"/>
        <v>4020795.1830000002</v>
      </c>
    </row>
    <row r="59" spans="1:90">
      <c r="A59" s="27" t="s">
        <v>136</v>
      </c>
      <c r="B59" s="27" t="s">
        <v>137</v>
      </c>
      <c r="C59" s="28"/>
      <c r="D59" s="28">
        <v>0</v>
      </c>
      <c r="E59" s="28">
        <v>0</v>
      </c>
      <c r="F59" s="28">
        <v>0</v>
      </c>
      <c r="G59" s="28">
        <v>8646.1200000000008</v>
      </c>
      <c r="H59" s="28"/>
      <c r="I59" s="28">
        <f t="shared" si="3"/>
        <v>8646.1200000000008</v>
      </c>
      <c r="J59" s="28">
        <v>0</v>
      </c>
      <c r="K59" s="28">
        <v>0</v>
      </c>
      <c r="L59" s="28">
        <v>0</v>
      </c>
      <c r="M59" s="28">
        <v>8513.4</v>
      </c>
      <c r="N59" s="28">
        <v>0</v>
      </c>
      <c r="O59" s="29"/>
      <c r="P59" s="28">
        <f t="shared" si="4"/>
        <v>8513.4</v>
      </c>
      <c r="Q59" s="28">
        <v>0</v>
      </c>
      <c r="R59" s="28">
        <v>0</v>
      </c>
      <c r="S59" s="28">
        <v>0</v>
      </c>
      <c r="T59" s="28">
        <v>8539.14</v>
      </c>
      <c r="U59" s="28">
        <v>0</v>
      </c>
      <c r="V59" s="31"/>
      <c r="W59" s="28">
        <f t="shared" si="5"/>
        <v>8539.14</v>
      </c>
      <c r="X59" s="28">
        <f t="shared" si="6"/>
        <v>25698.66</v>
      </c>
      <c r="Y59" s="22">
        <v>0</v>
      </c>
      <c r="Z59" s="22">
        <v>0</v>
      </c>
      <c r="AA59" s="22">
        <v>0</v>
      </c>
      <c r="AB59" s="22">
        <v>8688.26</v>
      </c>
      <c r="AC59" s="22">
        <v>0</v>
      </c>
      <c r="AD59" s="22">
        <v>0</v>
      </c>
      <c r="AE59" s="30">
        <f t="shared" si="0"/>
        <v>8688.26</v>
      </c>
      <c r="AF59" s="30">
        <f t="shared" si="1"/>
        <v>34386.92</v>
      </c>
      <c r="AG59" s="22">
        <v>0</v>
      </c>
      <c r="AH59" s="22">
        <v>0</v>
      </c>
      <c r="AI59" s="22">
        <v>0</v>
      </c>
      <c r="AJ59" s="22">
        <v>8688.26</v>
      </c>
      <c r="AK59" s="22">
        <v>0</v>
      </c>
      <c r="AL59" s="22">
        <v>0</v>
      </c>
      <c r="AM59" s="30">
        <f t="shared" si="7"/>
        <v>8688.26</v>
      </c>
      <c r="AN59" s="22">
        <v>0</v>
      </c>
      <c r="AO59" s="22">
        <v>0</v>
      </c>
      <c r="AP59" s="22">
        <v>0</v>
      </c>
      <c r="AQ59" s="22">
        <v>8688.26</v>
      </c>
      <c r="AR59" s="22">
        <v>0</v>
      </c>
      <c r="AS59" s="22">
        <v>0</v>
      </c>
      <c r="AT59" s="30">
        <f t="shared" si="8"/>
        <v>8688.26</v>
      </c>
      <c r="AU59" s="30">
        <f t="shared" si="9"/>
        <v>26064.78</v>
      </c>
      <c r="AV59" s="22">
        <v>0</v>
      </c>
      <c r="AW59" s="22">
        <v>0</v>
      </c>
      <c r="AX59" s="22">
        <v>0</v>
      </c>
      <c r="AY59" s="22">
        <v>8688.26</v>
      </c>
      <c r="AZ59" s="22">
        <v>0</v>
      </c>
      <c r="BA59" s="22">
        <v>0</v>
      </c>
      <c r="BB59" s="22">
        <f t="shared" si="10"/>
        <v>8688.26</v>
      </c>
      <c r="BC59" s="22">
        <v>0</v>
      </c>
      <c r="BD59" s="22">
        <v>0</v>
      </c>
      <c r="BE59" s="22">
        <v>0</v>
      </c>
      <c r="BF59" s="22">
        <v>8688.26</v>
      </c>
      <c r="BG59" s="22">
        <v>0</v>
      </c>
      <c r="BH59" s="22">
        <f t="shared" si="11"/>
        <v>8688.26</v>
      </c>
      <c r="BI59" s="22">
        <v>0</v>
      </c>
      <c r="BJ59" s="22">
        <v>0</v>
      </c>
      <c r="BK59" s="22">
        <v>0</v>
      </c>
      <c r="BL59" s="22">
        <v>8688.26</v>
      </c>
      <c r="BM59" s="22">
        <v>0</v>
      </c>
      <c r="BN59" s="22">
        <f t="shared" si="12"/>
        <v>8688.26</v>
      </c>
      <c r="BO59" s="22">
        <f t="shared" si="13"/>
        <v>26064.78</v>
      </c>
      <c r="BP59" s="22">
        <f t="shared" si="2"/>
        <v>77828.22</v>
      </c>
      <c r="BQ59" s="22">
        <v>0</v>
      </c>
      <c r="BR59" s="22">
        <v>0</v>
      </c>
      <c r="BS59" s="22">
        <v>0</v>
      </c>
      <c r="BT59" s="22">
        <v>2172.0700000000002</v>
      </c>
      <c r="BU59" s="22">
        <v>0</v>
      </c>
      <c r="BV59" s="30">
        <f t="shared" si="14"/>
        <v>2172.0700000000002</v>
      </c>
      <c r="BW59" s="22">
        <v>0</v>
      </c>
      <c r="BX59" s="22">
        <v>0</v>
      </c>
      <c r="BY59" s="22">
        <v>0</v>
      </c>
      <c r="BZ59" s="22">
        <v>1482.7899999999997</v>
      </c>
      <c r="CA59" s="22">
        <v>0</v>
      </c>
      <c r="CB59" s="22">
        <f t="shared" si="15"/>
        <v>1482.7899999999997</v>
      </c>
      <c r="CC59" s="22">
        <v>0</v>
      </c>
      <c r="CD59" s="22">
        <v>0</v>
      </c>
      <c r="CE59" s="22">
        <v>0</v>
      </c>
      <c r="CF59" s="22">
        <v>1129.47</v>
      </c>
      <c r="CG59" s="22">
        <v>0</v>
      </c>
      <c r="CH59" s="30">
        <f t="shared" si="16"/>
        <v>1129.47</v>
      </c>
      <c r="CI59" s="30">
        <f t="shared" si="17"/>
        <v>4784.33</v>
      </c>
      <c r="CJ59" s="30">
        <f t="shared" si="18"/>
        <v>82612.55</v>
      </c>
    </row>
    <row r="60" spans="1:90">
      <c r="A60" s="27" t="s">
        <v>138</v>
      </c>
      <c r="B60" s="27" t="s">
        <v>139</v>
      </c>
      <c r="C60" s="28"/>
      <c r="D60" s="28">
        <v>0</v>
      </c>
      <c r="E60" s="28">
        <v>0</v>
      </c>
      <c r="F60" s="28">
        <v>0</v>
      </c>
      <c r="G60" s="28">
        <v>73058.62</v>
      </c>
      <c r="H60" s="28"/>
      <c r="I60" s="28">
        <f t="shared" si="3"/>
        <v>73058.62</v>
      </c>
      <c r="J60" s="28">
        <v>0</v>
      </c>
      <c r="K60" s="28">
        <v>0</v>
      </c>
      <c r="L60" s="28">
        <v>0</v>
      </c>
      <c r="M60" s="28">
        <v>71937.09</v>
      </c>
      <c r="N60" s="28">
        <v>0</v>
      </c>
      <c r="O60" s="29"/>
      <c r="P60" s="28">
        <f t="shared" si="4"/>
        <v>71937.09</v>
      </c>
      <c r="Q60" s="28">
        <v>0</v>
      </c>
      <c r="R60" s="28">
        <v>0</v>
      </c>
      <c r="S60" s="28">
        <v>0</v>
      </c>
      <c r="T60" s="28">
        <v>72154.62</v>
      </c>
      <c r="U60" s="28">
        <v>0</v>
      </c>
      <c r="V60" s="31"/>
      <c r="W60" s="28">
        <f t="shared" si="5"/>
        <v>72154.62</v>
      </c>
      <c r="X60" s="28">
        <f t="shared" si="6"/>
        <v>217150.33</v>
      </c>
      <c r="Y60" s="22">
        <v>0</v>
      </c>
      <c r="Z60" s="22">
        <v>0</v>
      </c>
      <c r="AA60" s="22">
        <v>0</v>
      </c>
      <c r="AB60" s="22">
        <v>73414.67</v>
      </c>
      <c r="AC60" s="22">
        <v>0</v>
      </c>
      <c r="AD60" s="22">
        <v>0</v>
      </c>
      <c r="AE60" s="30">
        <f t="shared" si="0"/>
        <v>73414.67</v>
      </c>
      <c r="AF60" s="30">
        <f t="shared" si="1"/>
        <v>290565</v>
      </c>
      <c r="AG60" s="22">
        <v>0</v>
      </c>
      <c r="AH60" s="22">
        <v>0</v>
      </c>
      <c r="AI60" s="22">
        <v>0</v>
      </c>
      <c r="AJ60" s="22">
        <v>73414.67</v>
      </c>
      <c r="AK60" s="22">
        <v>0</v>
      </c>
      <c r="AL60" s="22">
        <v>0</v>
      </c>
      <c r="AM60" s="30">
        <f t="shared" si="7"/>
        <v>73414.67</v>
      </c>
      <c r="AN60" s="22">
        <v>0</v>
      </c>
      <c r="AO60" s="22">
        <v>0</v>
      </c>
      <c r="AP60" s="22">
        <v>0</v>
      </c>
      <c r="AQ60" s="22">
        <v>73414.67</v>
      </c>
      <c r="AR60" s="22">
        <v>0</v>
      </c>
      <c r="AS60" s="22">
        <v>0</v>
      </c>
      <c r="AT60" s="30">
        <f t="shared" si="8"/>
        <v>73414.67</v>
      </c>
      <c r="AU60" s="30">
        <f t="shared" si="9"/>
        <v>220244.01</v>
      </c>
      <c r="AV60" s="22">
        <v>0</v>
      </c>
      <c r="AW60" s="22">
        <v>0</v>
      </c>
      <c r="AX60" s="22">
        <v>0</v>
      </c>
      <c r="AY60" s="22">
        <v>73414.67</v>
      </c>
      <c r="AZ60" s="22">
        <v>0</v>
      </c>
      <c r="BA60" s="22">
        <v>0</v>
      </c>
      <c r="BB60" s="22">
        <f t="shared" si="10"/>
        <v>73414.67</v>
      </c>
      <c r="BC60" s="22">
        <v>0</v>
      </c>
      <c r="BD60" s="22">
        <v>0</v>
      </c>
      <c r="BE60" s="22">
        <v>0</v>
      </c>
      <c r="BF60" s="22">
        <v>73414.67</v>
      </c>
      <c r="BG60" s="22">
        <v>0</v>
      </c>
      <c r="BH60" s="22">
        <f t="shared" si="11"/>
        <v>73414.67</v>
      </c>
      <c r="BI60" s="22">
        <v>0</v>
      </c>
      <c r="BJ60" s="22">
        <v>0</v>
      </c>
      <c r="BK60" s="22">
        <v>0</v>
      </c>
      <c r="BL60" s="22">
        <v>73414.67</v>
      </c>
      <c r="BM60" s="22">
        <v>0</v>
      </c>
      <c r="BN60" s="22">
        <f t="shared" si="12"/>
        <v>73414.67</v>
      </c>
      <c r="BO60" s="22">
        <f t="shared" si="13"/>
        <v>220244.01</v>
      </c>
      <c r="BP60" s="22">
        <f t="shared" si="2"/>
        <v>657638.35</v>
      </c>
      <c r="BQ60" s="22">
        <v>0</v>
      </c>
      <c r="BR60" s="22">
        <v>0</v>
      </c>
      <c r="BS60" s="22">
        <v>0</v>
      </c>
      <c r="BT60" s="22">
        <v>18353.669999999998</v>
      </c>
      <c r="BU60" s="22">
        <v>0</v>
      </c>
      <c r="BV60" s="30">
        <f t="shared" si="14"/>
        <v>18353.669999999998</v>
      </c>
      <c r="BW60" s="22">
        <v>0</v>
      </c>
      <c r="BX60" s="22">
        <v>0</v>
      </c>
      <c r="BY60" s="22">
        <v>0</v>
      </c>
      <c r="BZ60" s="22">
        <v>12529.380000000001</v>
      </c>
      <c r="CA60" s="22">
        <v>0</v>
      </c>
      <c r="CB60" s="22">
        <f t="shared" si="15"/>
        <v>12529.380000000001</v>
      </c>
      <c r="CC60" s="22">
        <v>0</v>
      </c>
      <c r="CD60" s="22">
        <v>0</v>
      </c>
      <c r="CE60" s="22">
        <v>0</v>
      </c>
      <c r="CF60" s="22">
        <v>9543.91</v>
      </c>
      <c r="CG60" s="22">
        <v>0</v>
      </c>
      <c r="CH60" s="30">
        <f t="shared" si="16"/>
        <v>9543.91</v>
      </c>
      <c r="CI60" s="30">
        <f t="shared" si="17"/>
        <v>40426.959999999999</v>
      </c>
      <c r="CJ60" s="30">
        <f t="shared" si="18"/>
        <v>698065.30999999994</v>
      </c>
    </row>
    <row r="61" spans="1:90">
      <c r="A61" s="27" t="s">
        <v>140</v>
      </c>
      <c r="B61" s="27" t="s">
        <v>141</v>
      </c>
      <c r="C61" s="28"/>
      <c r="D61" s="28">
        <v>1056479.6399999999</v>
      </c>
      <c r="E61" s="28">
        <v>0</v>
      </c>
      <c r="F61" s="28">
        <v>0</v>
      </c>
      <c r="G61" s="28">
        <v>396243.6</v>
      </c>
      <c r="H61" s="28"/>
      <c r="I61" s="28">
        <f t="shared" si="3"/>
        <v>1452723.2399999998</v>
      </c>
      <c r="J61" s="28">
        <v>1095609.31</v>
      </c>
      <c r="K61" s="28">
        <v>0</v>
      </c>
      <c r="L61" s="28">
        <v>0</v>
      </c>
      <c r="M61" s="28">
        <v>343231.04000000004</v>
      </c>
      <c r="N61" s="28">
        <v>0</v>
      </c>
      <c r="O61" s="29"/>
      <c r="P61" s="28">
        <f t="shared" si="4"/>
        <v>1438840.35</v>
      </c>
      <c r="Q61" s="28">
        <v>1295891.78</v>
      </c>
      <c r="R61" s="28">
        <v>0</v>
      </c>
      <c r="S61" s="28">
        <v>0</v>
      </c>
      <c r="T61" s="28">
        <v>443815.36</v>
      </c>
      <c r="U61" s="28">
        <v>0</v>
      </c>
      <c r="V61" s="31"/>
      <c r="W61" s="28">
        <f t="shared" si="5"/>
        <v>1739707.1400000001</v>
      </c>
      <c r="X61" s="28">
        <f t="shared" si="6"/>
        <v>4631270.7300000004</v>
      </c>
      <c r="Y61" s="22">
        <v>1295881.2116666669</v>
      </c>
      <c r="Z61" s="22">
        <v>0</v>
      </c>
      <c r="AA61" s="22">
        <v>0</v>
      </c>
      <c r="AB61" s="22">
        <v>447199.99</v>
      </c>
      <c r="AC61" s="22">
        <v>0</v>
      </c>
      <c r="AD61" s="22">
        <v>0</v>
      </c>
      <c r="AE61" s="30">
        <f t="shared" si="0"/>
        <v>1743081.2016666669</v>
      </c>
      <c r="AF61" s="30">
        <f t="shared" si="1"/>
        <v>6374351.9316666676</v>
      </c>
      <c r="AG61" s="22">
        <v>1522470.13</v>
      </c>
      <c r="AH61" s="22">
        <v>0</v>
      </c>
      <c r="AI61" s="22">
        <v>0</v>
      </c>
      <c r="AJ61" s="22">
        <v>387199.99</v>
      </c>
      <c r="AK61" s="22">
        <v>0</v>
      </c>
      <c r="AL61" s="22">
        <v>2800</v>
      </c>
      <c r="AM61" s="30">
        <f t="shared" si="7"/>
        <v>1912470.1199999999</v>
      </c>
      <c r="AN61" s="22">
        <v>1522470.13</v>
      </c>
      <c r="AO61" s="22">
        <v>0</v>
      </c>
      <c r="AP61" s="22">
        <v>0</v>
      </c>
      <c r="AQ61" s="22">
        <v>387199.99</v>
      </c>
      <c r="AR61" s="22">
        <v>0</v>
      </c>
      <c r="AS61" s="22">
        <v>0</v>
      </c>
      <c r="AT61" s="30">
        <f t="shared" si="8"/>
        <v>1909670.1199999999</v>
      </c>
      <c r="AU61" s="30">
        <f t="shared" si="9"/>
        <v>5565221.4416666664</v>
      </c>
      <c r="AV61" s="22">
        <f>1712470.13-200000</f>
        <v>1512470.13</v>
      </c>
      <c r="AW61" s="22">
        <v>0</v>
      </c>
      <c r="AX61" s="22">
        <v>0</v>
      </c>
      <c r="AY61" s="22">
        <f>197199.99+200000</f>
        <v>397199.99</v>
      </c>
      <c r="AZ61" s="22">
        <v>0</v>
      </c>
      <c r="BA61" s="22">
        <v>0</v>
      </c>
      <c r="BB61" s="22">
        <f t="shared" si="10"/>
        <v>1909670.1199999999</v>
      </c>
      <c r="BC61" s="22">
        <f>1712470.13-150000</f>
        <v>1562470.13</v>
      </c>
      <c r="BD61" s="22">
        <v>0</v>
      </c>
      <c r="BE61" s="22">
        <v>0</v>
      </c>
      <c r="BF61" s="22">
        <f>197199.99+150000</f>
        <v>347199.99</v>
      </c>
      <c r="BG61" s="22">
        <v>0</v>
      </c>
      <c r="BH61" s="22">
        <f t="shared" si="11"/>
        <v>1909670.1199999999</v>
      </c>
      <c r="BI61" s="22">
        <v>1712470.13</v>
      </c>
      <c r="BJ61" s="22">
        <v>0</v>
      </c>
      <c r="BK61" s="22">
        <v>0</v>
      </c>
      <c r="BL61" s="22">
        <v>197199.99</v>
      </c>
      <c r="BM61" s="22">
        <v>0</v>
      </c>
      <c r="BN61" s="22">
        <f t="shared" si="12"/>
        <v>1909670.1199999999</v>
      </c>
      <c r="BO61" s="22">
        <f t="shared" si="13"/>
        <v>5729010.3599999994</v>
      </c>
      <c r="BP61" s="22">
        <f t="shared" si="2"/>
        <v>15925502.531666664</v>
      </c>
      <c r="BQ61" s="22">
        <v>645746.68999999994</v>
      </c>
      <c r="BR61" s="22">
        <v>0</v>
      </c>
      <c r="BS61" s="22">
        <v>0</v>
      </c>
      <c r="BT61" s="22">
        <v>49300</v>
      </c>
      <c r="BU61" s="22">
        <v>0</v>
      </c>
      <c r="BV61" s="30">
        <f t="shared" si="14"/>
        <v>695046.69</v>
      </c>
      <c r="BW61" s="22">
        <v>440827.95999999996</v>
      </c>
      <c r="BX61" s="22">
        <v>0</v>
      </c>
      <c r="BY61" s="22">
        <v>0</v>
      </c>
      <c r="BZ61" s="22">
        <v>33655.320000000007</v>
      </c>
      <c r="CA61" s="22">
        <v>0</v>
      </c>
      <c r="CB61" s="22">
        <f t="shared" si="15"/>
        <v>474483.27999999997</v>
      </c>
      <c r="CC61" s="22">
        <v>335788.28</v>
      </c>
      <c r="CD61" s="22">
        <v>0</v>
      </c>
      <c r="CE61" s="22">
        <v>0</v>
      </c>
      <c r="CF61" s="22">
        <v>25636</v>
      </c>
      <c r="CG61" s="22">
        <v>0</v>
      </c>
      <c r="CH61" s="30">
        <f t="shared" si="16"/>
        <v>361424.28</v>
      </c>
      <c r="CI61" s="30">
        <f t="shared" si="17"/>
        <v>1530954.25</v>
      </c>
      <c r="CJ61" s="30">
        <f t="shared" si="18"/>
        <v>17456456.781666666</v>
      </c>
      <c r="CL61" s="6"/>
    </row>
    <row r="62" spans="1:90">
      <c r="A62" s="27" t="s">
        <v>142</v>
      </c>
      <c r="B62" s="27" t="s">
        <v>143</v>
      </c>
      <c r="C62" s="28"/>
      <c r="D62" s="28">
        <v>5452602.3099999996</v>
      </c>
      <c r="E62" s="28">
        <v>75953.440000000002</v>
      </c>
      <c r="F62" s="28">
        <v>0</v>
      </c>
      <c r="G62" s="28">
        <v>291242.94</v>
      </c>
      <c r="H62" s="28"/>
      <c r="I62" s="28">
        <f t="shared" si="3"/>
        <v>5819798.6900000004</v>
      </c>
      <c r="J62" s="28">
        <v>5368131.32</v>
      </c>
      <c r="K62" s="28">
        <v>74787.47</v>
      </c>
      <c r="L62" s="28">
        <v>0</v>
      </c>
      <c r="M62" s="28">
        <v>287539.59999999998</v>
      </c>
      <c r="N62" s="28">
        <v>0</v>
      </c>
      <c r="O62" s="29"/>
      <c r="P62" s="28">
        <f t="shared" si="4"/>
        <v>5730458.3899999997</v>
      </c>
      <c r="Q62" s="28">
        <v>5374515.5300000003</v>
      </c>
      <c r="R62" s="28">
        <v>75013.63</v>
      </c>
      <c r="S62" s="28">
        <v>0</v>
      </c>
      <c r="T62" s="28">
        <v>298257.91000000003</v>
      </c>
      <c r="U62" s="28">
        <v>0</v>
      </c>
      <c r="V62" s="31"/>
      <c r="W62" s="28">
        <f t="shared" si="5"/>
        <v>5747787.0700000003</v>
      </c>
      <c r="X62" s="28">
        <f t="shared" si="6"/>
        <v>17298044.149999999</v>
      </c>
      <c r="Y62" s="22">
        <v>5000872.5000000009</v>
      </c>
      <c r="Z62" s="22">
        <v>76323.600000000006</v>
      </c>
      <c r="AA62" s="22">
        <v>0</v>
      </c>
      <c r="AB62" s="22">
        <v>242418.64</v>
      </c>
      <c r="AC62" s="22">
        <v>0</v>
      </c>
      <c r="AD62" s="22">
        <v>24920</v>
      </c>
      <c r="AE62" s="30">
        <f t="shared" si="0"/>
        <v>5344534.74</v>
      </c>
      <c r="AF62" s="30">
        <f t="shared" si="1"/>
        <v>22642578.890000001</v>
      </c>
      <c r="AG62" s="22">
        <v>5000872.5000000009</v>
      </c>
      <c r="AH62" s="22">
        <v>76323.600000000006</v>
      </c>
      <c r="AI62" s="22">
        <v>0</v>
      </c>
      <c r="AJ62" s="22">
        <v>242418.64</v>
      </c>
      <c r="AK62" s="22">
        <v>0</v>
      </c>
      <c r="AL62" s="22">
        <v>38360</v>
      </c>
      <c r="AM62" s="30">
        <f t="shared" si="7"/>
        <v>5357974.74</v>
      </c>
      <c r="AN62" s="22">
        <f>5000872.5-11018.52</f>
        <v>4989853.9800000004</v>
      </c>
      <c r="AO62" s="22">
        <v>76323.600000000006</v>
      </c>
      <c r="AP62" s="22">
        <v>0</v>
      </c>
      <c r="AQ62" s="22">
        <f>242418.64+11018.52</f>
        <v>253437.16</v>
      </c>
      <c r="AR62" s="22">
        <v>0</v>
      </c>
      <c r="AS62" s="22">
        <v>21000</v>
      </c>
      <c r="AT62" s="30">
        <f t="shared" si="8"/>
        <v>5340614.74</v>
      </c>
      <c r="AU62" s="30">
        <f t="shared" si="9"/>
        <v>16043124.220000001</v>
      </c>
      <c r="AV62" s="22">
        <f>5000872.5-50000</f>
        <v>4950872.5</v>
      </c>
      <c r="AW62" s="22">
        <v>76323.600000000006</v>
      </c>
      <c r="AX62" s="22">
        <v>0</v>
      </c>
      <c r="AY62" s="22">
        <f>242418.64+50000</f>
        <v>292418.64</v>
      </c>
      <c r="AZ62" s="22">
        <v>0</v>
      </c>
      <c r="BA62" s="22">
        <v>0</v>
      </c>
      <c r="BB62" s="22">
        <f t="shared" si="10"/>
        <v>5319614.7399999993</v>
      </c>
      <c r="BC62" s="22">
        <v>5000872.5000000009</v>
      </c>
      <c r="BD62" s="22">
        <v>76323.600000000006</v>
      </c>
      <c r="BE62" s="22">
        <v>0</v>
      </c>
      <c r="BF62" s="22">
        <v>242418.64</v>
      </c>
      <c r="BG62" s="22">
        <v>0</v>
      </c>
      <c r="BH62" s="22">
        <f t="shared" si="11"/>
        <v>5319614.74</v>
      </c>
      <c r="BI62" s="22">
        <v>5000872.5000000009</v>
      </c>
      <c r="BJ62" s="22">
        <v>76323.600000000006</v>
      </c>
      <c r="BK62" s="22">
        <v>0</v>
      </c>
      <c r="BL62" s="22">
        <v>242418.64</v>
      </c>
      <c r="BM62" s="22">
        <v>0</v>
      </c>
      <c r="BN62" s="22">
        <f t="shared" si="12"/>
        <v>5319614.74</v>
      </c>
      <c r="BO62" s="22">
        <f t="shared" si="13"/>
        <v>15958844.220000001</v>
      </c>
      <c r="BP62" s="22">
        <f t="shared" si="2"/>
        <v>49300012.590000011</v>
      </c>
      <c r="BQ62" s="22">
        <v>1695456.4</v>
      </c>
      <c r="BR62" s="22">
        <v>19080.900000000001</v>
      </c>
      <c r="BS62" s="22">
        <v>0</v>
      </c>
      <c r="BT62" s="22">
        <v>60604.66</v>
      </c>
      <c r="BU62" s="22">
        <v>0</v>
      </c>
      <c r="BV62" s="30">
        <f t="shared" si="14"/>
        <v>1775141.9599999997</v>
      </c>
      <c r="BW62" s="22">
        <v>1157426.8900000001</v>
      </c>
      <c r="BX62" s="22">
        <v>13025.839999999997</v>
      </c>
      <c r="BY62" s="22">
        <v>0</v>
      </c>
      <c r="BZ62" s="22">
        <v>41372.62000000001</v>
      </c>
      <c r="CA62" s="22">
        <v>0</v>
      </c>
      <c r="CB62" s="22">
        <f t="shared" si="15"/>
        <v>1211825.3500000003</v>
      </c>
      <c r="CC62" s="22">
        <v>881637.33</v>
      </c>
      <c r="CD62" s="22">
        <v>9922.07</v>
      </c>
      <c r="CE62" s="22">
        <v>0</v>
      </c>
      <c r="CF62" s="22">
        <v>31514.42</v>
      </c>
      <c r="CG62" s="22">
        <v>0</v>
      </c>
      <c r="CH62" s="30">
        <f t="shared" si="16"/>
        <v>923073.82</v>
      </c>
      <c r="CI62" s="30">
        <f t="shared" si="17"/>
        <v>3910041.13</v>
      </c>
      <c r="CJ62" s="30">
        <f t="shared" si="18"/>
        <v>53210053.719999999</v>
      </c>
    </row>
    <row r="63" spans="1:90">
      <c r="A63" s="27" t="s">
        <v>144</v>
      </c>
      <c r="B63" s="27" t="s">
        <v>145</v>
      </c>
      <c r="C63" s="28"/>
      <c r="D63" s="28">
        <v>0</v>
      </c>
      <c r="E63" s="28">
        <v>0</v>
      </c>
      <c r="F63" s="28">
        <v>0</v>
      </c>
      <c r="G63" s="28">
        <v>425409.43</v>
      </c>
      <c r="H63" s="28"/>
      <c r="I63" s="28">
        <f t="shared" si="3"/>
        <v>425409.43</v>
      </c>
      <c r="J63" s="28">
        <v>0</v>
      </c>
      <c r="K63" s="28">
        <v>0</v>
      </c>
      <c r="L63" s="28">
        <v>0</v>
      </c>
      <c r="M63" s="28">
        <v>418878.92</v>
      </c>
      <c r="N63" s="28">
        <v>0</v>
      </c>
      <c r="O63" s="29"/>
      <c r="P63" s="28">
        <f t="shared" si="4"/>
        <v>418878.92</v>
      </c>
      <c r="Q63" s="28">
        <v>0</v>
      </c>
      <c r="R63" s="28">
        <v>0</v>
      </c>
      <c r="S63" s="28">
        <v>0</v>
      </c>
      <c r="T63" s="28">
        <v>420145.6</v>
      </c>
      <c r="U63" s="28">
        <v>0</v>
      </c>
      <c r="V63" s="31"/>
      <c r="W63" s="28">
        <f t="shared" si="5"/>
        <v>420145.6</v>
      </c>
      <c r="X63" s="28">
        <f t="shared" si="6"/>
        <v>1264433.95</v>
      </c>
      <c r="Y63" s="22">
        <v>0</v>
      </c>
      <c r="Z63" s="22">
        <v>0</v>
      </c>
      <c r="AA63" s="22">
        <v>0</v>
      </c>
      <c r="AB63" s="22">
        <v>427482.66</v>
      </c>
      <c r="AC63" s="22">
        <v>0</v>
      </c>
      <c r="AD63" s="22">
        <v>0</v>
      </c>
      <c r="AE63" s="30">
        <f t="shared" si="0"/>
        <v>427482.66</v>
      </c>
      <c r="AF63" s="30">
        <f t="shared" si="1"/>
        <v>1691916.6099999999</v>
      </c>
      <c r="AG63" s="22">
        <v>0</v>
      </c>
      <c r="AH63" s="22">
        <v>0</v>
      </c>
      <c r="AI63" s="22">
        <v>0</v>
      </c>
      <c r="AJ63" s="22">
        <v>427482.66</v>
      </c>
      <c r="AK63" s="22">
        <v>0</v>
      </c>
      <c r="AL63" s="22">
        <v>0</v>
      </c>
      <c r="AM63" s="30">
        <f t="shared" si="7"/>
        <v>427482.66</v>
      </c>
      <c r="AN63" s="22">
        <v>0</v>
      </c>
      <c r="AO63" s="22">
        <v>0</v>
      </c>
      <c r="AP63" s="22">
        <v>0</v>
      </c>
      <c r="AQ63" s="22">
        <v>427482.66</v>
      </c>
      <c r="AR63" s="22">
        <v>0</v>
      </c>
      <c r="AS63" s="22">
        <v>0</v>
      </c>
      <c r="AT63" s="30">
        <f t="shared" si="8"/>
        <v>427482.66</v>
      </c>
      <c r="AU63" s="30">
        <f t="shared" si="9"/>
        <v>1282447.98</v>
      </c>
      <c r="AV63" s="22">
        <v>0</v>
      </c>
      <c r="AW63" s="22">
        <v>0</v>
      </c>
      <c r="AX63" s="22">
        <v>0</v>
      </c>
      <c r="AY63" s="22">
        <v>427482.66</v>
      </c>
      <c r="AZ63" s="22">
        <v>0</v>
      </c>
      <c r="BA63" s="22">
        <v>0</v>
      </c>
      <c r="BB63" s="22">
        <f t="shared" si="10"/>
        <v>427482.66</v>
      </c>
      <c r="BC63" s="22">
        <v>0</v>
      </c>
      <c r="BD63" s="22">
        <v>0</v>
      </c>
      <c r="BE63" s="22">
        <v>0</v>
      </c>
      <c r="BF63" s="22">
        <v>427482.66</v>
      </c>
      <c r="BG63" s="22">
        <v>0</v>
      </c>
      <c r="BH63" s="22">
        <f t="shared" si="11"/>
        <v>427482.66</v>
      </c>
      <c r="BI63" s="22">
        <v>0</v>
      </c>
      <c r="BJ63" s="22">
        <v>0</v>
      </c>
      <c r="BK63" s="22">
        <v>0</v>
      </c>
      <c r="BL63" s="22">
        <v>427482.66</v>
      </c>
      <c r="BM63" s="22">
        <v>0</v>
      </c>
      <c r="BN63" s="22">
        <f t="shared" si="12"/>
        <v>427482.66</v>
      </c>
      <c r="BO63" s="22">
        <f t="shared" si="13"/>
        <v>1282447.98</v>
      </c>
      <c r="BP63" s="22">
        <f t="shared" si="2"/>
        <v>3829329.9100000006</v>
      </c>
      <c r="BQ63" s="22">
        <v>0</v>
      </c>
      <c r="BR63" s="22">
        <v>0</v>
      </c>
      <c r="BS63" s="22">
        <v>0</v>
      </c>
      <c r="BT63" s="22">
        <v>106870.67</v>
      </c>
      <c r="BU63" s="22">
        <v>0</v>
      </c>
      <c r="BV63" s="30">
        <f t="shared" si="14"/>
        <v>106870.67</v>
      </c>
      <c r="BW63" s="22">
        <v>0</v>
      </c>
      <c r="BX63" s="22">
        <v>0</v>
      </c>
      <c r="BY63" s="22">
        <v>0</v>
      </c>
      <c r="BZ63" s="22">
        <v>72956.740000000005</v>
      </c>
      <c r="CA63" s="22">
        <v>0</v>
      </c>
      <c r="CB63" s="22">
        <f t="shared" si="15"/>
        <v>72956.740000000005</v>
      </c>
      <c r="CC63" s="22">
        <v>0</v>
      </c>
      <c r="CD63" s="22">
        <v>0</v>
      </c>
      <c r="CE63" s="22">
        <v>0</v>
      </c>
      <c r="CF63" s="22">
        <v>55572.75</v>
      </c>
      <c r="CG63" s="22">
        <v>0</v>
      </c>
      <c r="CH63" s="30">
        <f t="shared" si="16"/>
        <v>55572.75</v>
      </c>
      <c r="CI63" s="30">
        <f t="shared" si="17"/>
        <v>235400.16</v>
      </c>
      <c r="CJ63" s="30">
        <f t="shared" si="18"/>
        <v>4064730.07</v>
      </c>
    </row>
    <row r="64" spans="1:90">
      <c r="A64" s="27" t="s">
        <v>146</v>
      </c>
      <c r="B64" s="27" t="s">
        <v>147</v>
      </c>
      <c r="C64" s="28"/>
      <c r="D64" s="28">
        <v>0</v>
      </c>
      <c r="E64" s="28">
        <v>0</v>
      </c>
      <c r="F64" s="28">
        <v>0</v>
      </c>
      <c r="G64" s="28">
        <v>361023.07</v>
      </c>
      <c r="H64" s="28"/>
      <c r="I64" s="28">
        <f t="shared" si="3"/>
        <v>361023.07</v>
      </c>
      <c r="J64" s="28">
        <v>0</v>
      </c>
      <c r="K64" s="28">
        <v>0</v>
      </c>
      <c r="L64" s="28">
        <v>0</v>
      </c>
      <c r="M64" s="28">
        <v>355480.97</v>
      </c>
      <c r="N64" s="28">
        <v>0</v>
      </c>
      <c r="O64" s="29"/>
      <c r="P64" s="28">
        <f t="shared" si="4"/>
        <v>355480.97</v>
      </c>
      <c r="Q64" s="28">
        <v>0</v>
      </c>
      <c r="R64" s="28">
        <v>0</v>
      </c>
      <c r="S64" s="28">
        <v>0</v>
      </c>
      <c r="T64" s="28">
        <v>356555.93</v>
      </c>
      <c r="U64" s="28">
        <v>0</v>
      </c>
      <c r="V64" s="31"/>
      <c r="W64" s="28">
        <f t="shared" si="5"/>
        <v>356555.93</v>
      </c>
      <c r="X64" s="28">
        <f t="shared" si="6"/>
        <v>1073059.97</v>
      </c>
      <c r="Y64" s="22">
        <v>0</v>
      </c>
      <c r="Z64" s="22">
        <v>0</v>
      </c>
      <c r="AA64" s="22">
        <v>0</v>
      </c>
      <c r="AB64" s="22">
        <v>362782.52</v>
      </c>
      <c r="AC64" s="22">
        <v>0</v>
      </c>
      <c r="AD64" s="22">
        <v>0</v>
      </c>
      <c r="AE64" s="30">
        <f t="shared" si="0"/>
        <v>362782.52</v>
      </c>
      <c r="AF64" s="30">
        <f t="shared" si="1"/>
        <v>1435842.49</v>
      </c>
      <c r="AG64" s="22">
        <v>0</v>
      </c>
      <c r="AH64" s="22">
        <v>0</v>
      </c>
      <c r="AI64" s="22">
        <v>0</v>
      </c>
      <c r="AJ64" s="22">
        <v>362782.52</v>
      </c>
      <c r="AK64" s="22">
        <v>0</v>
      </c>
      <c r="AL64" s="22">
        <v>0</v>
      </c>
      <c r="AM64" s="30">
        <f t="shared" si="7"/>
        <v>362782.52</v>
      </c>
      <c r="AN64" s="22">
        <v>0</v>
      </c>
      <c r="AO64" s="22">
        <v>0</v>
      </c>
      <c r="AP64" s="22">
        <v>0</v>
      </c>
      <c r="AQ64" s="22">
        <v>362782.52</v>
      </c>
      <c r="AR64" s="22">
        <v>0</v>
      </c>
      <c r="AS64" s="22">
        <v>0</v>
      </c>
      <c r="AT64" s="30">
        <f t="shared" si="8"/>
        <v>362782.52</v>
      </c>
      <c r="AU64" s="30">
        <f t="shared" si="9"/>
        <v>1088347.56</v>
      </c>
      <c r="AV64" s="22">
        <v>0</v>
      </c>
      <c r="AW64" s="22">
        <v>0</v>
      </c>
      <c r="AX64" s="22">
        <v>0</v>
      </c>
      <c r="AY64" s="22">
        <v>362782.52</v>
      </c>
      <c r="AZ64" s="22">
        <v>0</v>
      </c>
      <c r="BA64" s="22">
        <v>0</v>
      </c>
      <c r="BB64" s="22">
        <f t="shared" si="10"/>
        <v>362782.52</v>
      </c>
      <c r="BC64" s="22">
        <v>0</v>
      </c>
      <c r="BD64" s="22">
        <v>0</v>
      </c>
      <c r="BE64" s="22">
        <v>0</v>
      </c>
      <c r="BF64" s="22">
        <v>362782.52</v>
      </c>
      <c r="BG64" s="22">
        <v>0</v>
      </c>
      <c r="BH64" s="22">
        <f t="shared" si="11"/>
        <v>362782.52</v>
      </c>
      <c r="BI64" s="22">
        <v>0</v>
      </c>
      <c r="BJ64" s="22">
        <v>0</v>
      </c>
      <c r="BK64" s="22">
        <v>0</v>
      </c>
      <c r="BL64" s="22">
        <v>362782.52</v>
      </c>
      <c r="BM64" s="22">
        <v>0</v>
      </c>
      <c r="BN64" s="22">
        <f t="shared" si="12"/>
        <v>362782.52</v>
      </c>
      <c r="BO64" s="22">
        <f t="shared" si="13"/>
        <v>1088347.56</v>
      </c>
      <c r="BP64" s="22">
        <f t="shared" si="2"/>
        <v>3249755.0900000003</v>
      </c>
      <c r="BQ64" s="22">
        <v>0</v>
      </c>
      <c r="BR64" s="22">
        <v>0</v>
      </c>
      <c r="BS64" s="22">
        <v>0</v>
      </c>
      <c r="BT64" s="22">
        <v>90695.63</v>
      </c>
      <c r="BU64" s="22">
        <v>0</v>
      </c>
      <c r="BV64" s="30">
        <f t="shared" si="14"/>
        <v>90695.63</v>
      </c>
      <c r="BW64" s="22">
        <v>0</v>
      </c>
      <c r="BX64" s="22">
        <v>0</v>
      </c>
      <c r="BY64" s="22">
        <v>0</v>
      </c>
      <c r="BZ64" s="22">
        <v>61914.629999999983</v>
      </c>
      <c r="CA64" s="22">
        <v>0</v>
      </c>
      <c r="CB64" s="22">
        <f t="shared" si="15"/>
        <v>61914.629999999983</v>
      </c>
      <c r="CC64" s="22">
        <v>0</v>
      </c>
      <c r="CD64" s="22">
        <v>0</v>
      </c>
      <c r="CE64" s="22">
        <v>0</v>
      </c>
      <c r="CF64" s="22">
        <v>47161.73</v>
      </c>
      <c r="CG64" s="22">
        <v>0</v>
      </c>
      <c r="CH64" s="30">
        <f t="shared" si="16"/>
        <v>47161.73</v>
      </c>
      <c r="CI64" s="30">
        <f t="shared" si="17"/>
        <v>199771.99</v>
      </c>
      <c r="CJ64" s="30">
        <f t="shared" si="18"/>
        <v>3449527.08</v>
      </c>
    </row>
    <row r="65" spans="1:88" s="4" customFormat="1">
      <c r="A65" s="27" t="s">
        <v>148</v>
      </c>
      <c r="B65" s="27" t="s">
        <v>149</v>
      </c>
      <c r="C65" s="28"/>
      <c r="D65" s="28">
        <v>0</v>
      </c>
      <c r="E65" s="28">
        <v>0</v>
      </c>
      <c r="F65" s="28">
        <v>0</v>
      </c>
      <c r="G65" s="28">
        <v>77149.009999999995</v>
      </c>
      <c r="H65" s="28"/>
      <c r="I65" s="28">
        <f t="shared" si="3"/>
        <v>77149.009999999995</v>
      </c>
      <c r="J65" s="28">
        <v>0</v>
      </c>
      <c r="K65" s="28">
        <v>0</v>
      </c>
      <c r="L65" s="28">
        <v>0</v>
      </c>
      <c r="M65" s="28">
        <v>75964.69</v>
      </c>
      <c r="N65" s="28">
        <v>0</v>
      </c>
      <c r="O65" s="29"/>
      <c r="P65" s="28">
        <f t="shared" si="4"/>
        <v>75964.69</v>
      </c>
      <c r="Q65" s="28">
        <v>0</v>
      </c>
      <c r="R65" s="28">
        <v>0</v>
      </c>
      <c r="S65" s="28">
        <v>0</v>
      </c>
      <c r="T65" s="28">
        <v>76194.41</v>
      </c>
      <c r="U65" s="28">
        <v>0</v>
      </c>
      <c r="V65" s="31"/>
      <c r="W65" s="28">
        <f t="shared" si="5"/>
        <v>76194.41</v>
      </c>
      <c r="X65" s="28">
        <f t="shared" si="6"/>
        <v>229308.11000000002</v>
      </c>
      <c r="Y65" s="22">
        <v>0</v>
      </c>
      <c r="Z65" s="22">
        <v>0</v>
      </c>
      <c r="AA65" s="22">
        <v>0</v>
      </c>
      <c r="AB65" s="22">
        <v>77525</v>
      </c>
      <c r="AC65" s="22">
        <v>0</v>
      </c>
      <c r="AD65" s="22">
        <v>0</v>
      </c>
      <c r="AE65" s="30">
        <f t="shared" si="0"/>
        <v>77525</v>
      </c>
      <c r="AF65" s="30">
        <f t="shared" si="1"/>
        <v>306833.11</v>
      </c>
      <c r="AG65" s="22">
        <v>0</v>
      </c>
      <c r="AH65" s="22">
        <v>0</v>
      </c>
      <c r="AI65" s="22">
        <v>0</v>
      </c>
      <c r="AJ65" s="22">
        <v>77525</v>
      </c>
      <c r="AK65" s="22">
        <v>0</v>
      </c>
      <c r="AL65" s="22">
        <v>0</v>
      </c>
      <c r="AM65" s="30">
        <f t="shared" si="7"/>
        <v>77525</v>
      </c>
      <c r="AN65" s="22">
        <v>0</v>
      </c>
      <c r="AO65" s="22">
        <v>0</v>
      </c>
      <c r="AP65" s="22">
        <v>0</v>
      </c>
      <c r="AQ65" s="22">
        <v>77525</v>
      </c>
      <c r="AR65" s="22">
        <v>0</v>
      </c>
      <c r="AS65" s="22">
        <v>0</v>
      </c>
      <c r="AT65" s="30">
        <f t="shared" si="8"/>
        <v>77525</v>
      </c>
      <c r="AU65" s="30">
        <f t="shared" si="9"/>
        <v>232575</v>
      </c>
      <c r="AV65" s="22">
        <v>0</v>
      </c>
      <c r="AW65" s="22">
        <v>0</v>
      </c>
      <c r="AX65" s="22">
        <v>0</v>
      </c>
      <c r="AY65" s="22">
        <v>77525</v>
      </c>
      <c r="AZ65" s="22">
        <v>0</v>
      </c>
      <c r="BA65" s="22">
        <v>0</v>
      </c>
      <c r="BB65" s="22">
        <f t="shared" si="10"/>
        <v>77525</v>
      </c>
      <c r="BC65" s="22">
        <v>0</v>
      </c>
      <c r="BD65" s="22">
        <v>0</v>
      </c>
      <c r="BE65" s="22">
        <v>0</v>
      </c>
      <c r="BF65" s="22">
        <v>77525</v>
      </c>
      <c r="BG65" s="22">
        <v>0</v>
      </c>
      <c r="BH65" s="22">
        <f t="shared" si="11"/>
        <v>77525</v>
      </c>
      <c r="BI65" s="22">
        <v>0</v>
      </c>
      <c r="BJ65" s="22">
        <v>0</v>
      </c>
      <c r="BK65" s="22">
        <v>0</v>
      </c>
      <c r="BL65" s="22">
        <v>77525</v>
      </c>
      <c r="BM65" s="22">
        <v>0</v>
      </c>
      <c r="BN65" s="22">
        <f t="shared" si="12"/>
        <v>77525</v>
      </c>
      <c r="BO65" s="22">
        <f t="shared" si="13"/>
        <v>232575</v>
      </c>
      <c r="BP65" s="22">
        <f t="shared" si="2"/>
        <v>694458.11</v>
      </c>
      <c r="BQ65" s="22">
        <v>0</v>
      </c>
      <c r="BR65" s="22">
        <v>0</v>
      </c>
      <c r="BS65" s="22">
        <v>0</v>
      </c>
      <c r="BT65" s="22">
        <v>19381.25</v>
      </c>
      <c r="BU65" s="22">
        <v>0</v>
      </c>
      <c r="BV65" s="30">
        <f t="shared" si="14"/>
        <v>19381.25</v>
      </c>
      <c r="BW65" s="22">
        <v>0</v>
      </c>
      <c r="BX65" s="22">
        <v>0</v>
      </c>
      <c r="BY65" s="22">
        <v>0</v>
      </c>
      <c r="BZ65" s="22">
        <v>13230.879999999997</v>
      </c>
      <c r="CA65" s="22">
        <v>0</v>
      </c>
      <c r="CB65" s="22">
        <f t="shared" si="15"/>
        <v>13230.879999999997</v>
      </c>
      <c r="CC65" s="22">
        <v>0</v>
      </c>
      <c r="CD65" s="22">
        <v>0</v>
      </c>
      <c r="CE65" s="22">
        <v>0</v>
      </c>
      <c r="CF65" s="22">
        <v>10078.25</v>
      </c>
      <c r="CG65" s="22">
        <v>0</v>
      </c>
      <c r="CH65" s="30">
        <f t="shared" si="16"/>
        <v>10078.25</v>
      </c>
      <c r="CI65" s="30">
        <f t="shared" si="17"/>
        <v>42690.38</v>
      </c>
      <c r="CJ65" s="30">
        <f t="shared" si="18"/>
        <v>737148.49</v>
      </c>
    </row>
    <row r="66" spans="1:88" s="4" customFormat="1">
      <c r="A66" s="27" t="s">
        <v>150</v>
      </c>
      <c r="B66" s="27" t="s">
        <v>151</v>
      </c>
      <c r="C66" s="28"/>
      <c r="D66" s="28">
        <v>0</v>
      </c>
      <c r="E66" s="28">
        <v>0</v>
      </c>
      <c r="F66" s="28">
        <v>0</v>
      </c>
      <c r="G66" s="28">
        <v>0</v>
      </c>
      <c r="H66" s="28"/>
      <c r="I66" s="28">
        <f t="shared" si="3"/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9"/>
      <c r="P66" s="28">
        <f t="shared" si="4"/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31"/>
      <c r="W66" s="28">
        <f t="shared" si="5"/>
        <v>0</v>
      </c>
      <c r="X66" s="28">
        <f t="shared" si="6"/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30">
        <f t="shared" si="0"/>
        <v>0</v>
      </c>
      <c r="AF66" s="30">
        <f t="shared" si="1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30">
        <f t="shared" si="7"/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30">
        <f t="shared" si="8"/>
        <v>0</v>
      </c>
      <c r="AU66" s="30">
        <f t="shared" si="9"/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f t="shared" si="10"/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f t="shared" si="11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f t="shared" si="12"/>
        <v>0</v>
      </c>
      <c r="BO66" s="22">
        <f t="shared" si="13"/>
        <v>0</v>
      </c>
      <c r="BP66" s="22">
        <f t="shared" si="2"/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30">
        <f t="shared" si="14"/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f t="shared" si="15"/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30">
        <f t="shared" si="16"/>
        <v>0</v>
      </c>
      <c r="CI66" s="30">
        <f t="shared" si="17"/>
        <v>0</v>
      </c>
      <c r="CJ66" s="30">
        <f t="shared" si="18"/>
        <v>0</v>
      </c>
    </row>
    <row r="67" spans="1:88" s="4" customFormat="1">
      <c r="A67" s="27" t="s">
        <v>152</v>
      </c>
      <c r="B67" s="27" t="s">
        <v>153</v>
      </c>
      <c r="C67" s="28"/>
      <c r="D67" s="28">
        <v>476667.13</v>
      </c>
      <c r="E67" s="28">
        <v>0</v>
      </c>
      <c r="F67" s="28">
        <v>0</v>
      </c>
      <c r="G67" s="28">
        <v>2352.69</v>
      </c>
      <c r="H67" s="28"/>
      <c r="I67" s="28">
        <f t="shared" si="3"/>
        <v>479019.82</v>
      </c>
      <c r="J67" s="28">
        <v>469349.76</v>
      </c>
      <c r="K67" s="28">
        <v>0</v>
      </c>
      <c r="L67" s="28">
        <v>0</v>
      </c>
      <c r="M67" s="28">
        <v>2316.58</v>
      </c>
      <c r="N67" s="28">
        <v>0</v>
      </c>
      <c r="O67" s="29"/>
      <c r="P67" s="28">
        <f t="shared" si="4"/>
        <v>471666.34</v>
      </c>
      <c r="Q67" s="28">
        <v>470769.06</v>
      </c>
      <c r="R67" s="28">
        <v>0</v>
      </c>
      <c r="S67" s="28">
        <v>0</v>
      </c>
      <c r="T67" s="28">
        <v>2323.58</v>
      </c>
      <c r="U67" s="28">
        <v>0</v>
      </c>
      <c r="V67" s="31"/>
      <c r="W67" s="28">
        <f t="shared" si="5"/>
        <v>473092.64</v>
      </c>
      <c r="X67" s="28">
        <f t="shared" si="6"/>
        <v>1423778.8</v>
      </c>
      <c r="Y67" s="22">
        <v>472607.17500000005</v>
      </c>
      <c r="Z67" s="22">
        <v>0</v>
      </c>
      <c r="AA67" s="22">
        <v>0</v>
      </c>
      <c r="AB67" s="22">
        <v>2364.16</v>
      </c>
      <c r="AC67" s="22">
        <v>0</v>
      </c>
      <c r="AD67" s="22">
        <v>0</v>
      </c>
      <c r="AE67" s="30">
        <f t="shared" si="0"/>
        <v>474971.33500000002</v>
      </c>
      <c r="AF67" s="30">
        <f t="shared" si="1"/>
        <v>1898750.135</v>
      </c>
      <c r="AG67" s="22">
        <v>472607.17500000005</v>
      </c>
      <c r="AH67" s="22">
        <v>0</v>
      </c>
      <c r="AI67" s="22">
        <v>0</v>
      </c>
      <c r="AJ67" s="22">
        <v>2364.16</v>
      </c>
      <c r="AK67" s="22">
        <v>0</v>
      </c>
      <c r="AL67" s="22">
        <v>0</v>
      </c>
      <c r="AM67" s="30">
        <f t="shared" si="7"/>
        <v>474971.33500000002</v>
      </c>
      <c r="AN67" s="22">
        <v>472607.17500000005</v>
      </c>
      <c r="AO67" s="22">
        <v>0</v>
      </c>
      <c r="AP67" s="22">
        <v>0</v>
      </c>
      <c r="AQ67" s="22">
        <v>2364.16</v>
      </c>
      <c r="AR67" s="22">
        <v>0</v>
      </c>
      <c r="AS67" s="22">
        <v>0</v>
      </c>
      <c r="AT67" s="30">
        <f t="shared" si="8"/>
        <v>474971.33500000002</v>
      </c>
      <c r="AU67" s="30">
        <f t="shared" si="9"/>
        <v>1424914.0050000001</v>
      </c>
      <c r="AV67" s="22">
        <v>472607.17500000005</v>
      </c>
      <c r="AW67" s="22">
        <v>0</v>
      </c>
      <c r="AX67" s="22">
        <v>0</v>
      </c>
      <c r="AY67" s="22">
        <v>2364.16</v>
      </c>
      <c r="AZ67" s="22">
        <v>0</v>
      </c>
      <c r="BA67" s="22">
        <v>0</v>
      </c>
      <c r="BB67" s="22">
        <f t="shared" si="10"/>
        <v>474971.33500000002</v>
      </c>
      <c r="BC67" s="22">
        <v>472607.17500000005</v>
      </c>
      <c r="BD67" s="22">
        <v>0</v>
      </c>
      <c r="BE67" s="22">
        <v>0</v>
      </c>
      <c r="BF67" s="22">
        <v>2364.16</v>
      </c>
      <c r="BG67" s="22">
        <v>0</v>
      </c>
      <c r="BH67" s="22">
        <f t="shared" si="11"/>
        <v>474971.33500000002</v>
      </c>
      <c r="BI67" s="22">
        <v>472607.17500000005</v>
      </c>
      <c r="BJ67" s="22">
        <v>0</v>
      </c>
      <c r="BK67" s="22">
        <v>0</v>
      </c>
      <c r="BL67" s="22">
        <v>2364.16</v>
      </c>
      <c r="BM67" s="22">
        <v>0</v>
      </c>
      <c r="BN67" s="22">
        <f t="shared" si="12"/>
        <v>474971.33500000002</v>
      </c>
      <c r="BO67" s="22">
        <f t="shared" si="13"/>
        <v>1424914.0050000001</v>
      </c>
      <c r="BP67" s="22">
        <f t="shared" si="2"/>
        <v>4273606.8100000005</v>
      </c>
      <c r="BQ67" s="22">
        <v>131722.29999999999</v>
      </c>
      <c r="BR67" s="22">
        <v>0</v>
      </c>
      <c r="BS67" s="22">
        <v>0</v>
      </c>
      <c r="BT67" s="22">
        <v>591.04</v>
      </c>
      <c r="BU67" s="22">
        <v>0</v>
      </c>
      <c r="BV67" s="30">
        <f t="shared" si="14"/>
        <v>132313.34</v>
      </c>
      <c r="BW67" s="22">
        <v>89922.060000000027</v>
      </c>
      <c r="BX67" s="22">
        <v>0</v>
      </c>
      <c r="BY67" s="22">
        <v>0</v>
      </c>
      <c r="BZ67" s="22">
        <v>403.47999999999996</v>
      </c>
      <c r="CA67" s="22">
        <v>0</v>
      </c>
      <c r="CB67" s="22">
        <f t="shared" si="15"/>
        <v>90325.540000000023</v>
      </c>
      <c r="CC67" s="22">
        <v>68495.59</v>
      </c>
      <c r="CD67" s="22">
        <v>0</v>
      </c>
      <c r="CE67" s="22">
        <v>0</v>
      </c>
      <c r="CF67" s="22">
        <v>307.33999999999997</v>
      </c>
      <c r="CG67" s="22">
        <v>0</v>
      </c>
      <c r="CH67" s="30">
        <f t="shared" si="16"/>
        <v>68802.929999999993</v>
      </c>
      <c r="CI67" s="30">
        <f t="shared" si="17"/>
        <v>291441.81</v>
      </c>
      <c r="CJ67" s="30">
        <f t="shared" si="18"/>
        <v>4565048.62</v>
      </c>
    </row>
    <row r="68" spans="1:88" s="4" customFormat="1">
      <c r="A68" s="27" t="s">
        <v>154</v>
      </c>
      <c r="B68" s="27" t="s">
        <v>155</v>
      </c>
      <c r="C68" s="28"/>
      <c r="D68" s="28">
        <v>0</v>
      </c>
      <c r="E68" s="28">
        <v>0</v>
      </c>
      <c r="F68" s="28">
        <v>0</v>
      </c>
      <c r="G68" s="28">
        <v>64799.4</v>
      </c>
      <c r="H68" s="28"/>
      <c r="I68" s="28">
        <f t="shared" si="3"/>
        <v>64799.4</v>
      </c>
      <c r="J68" s="28">
        <v>0</v>
      </c>
      <c r="K68" s="28">
        <v>0</v>
      </c>
      <c r="L68" s="28">
        <v>0</v>
      </c>
      <c r="M68" s="28">
        <v>79237.819999999992</v>
      </c>
      <c r="N68" s="28">
        <v>0</v>
      </c>
      <c r="O68" s="29"/>
      <c r="P68" s="28">
        <f t="shared" si="4"/>
        <v>79237.819999999992</v>
      </c>
      <c r="Q68" s="28">
        <v>0</v>
      </c>
      <c r="R68" s="28">
        <v>0</v>
      </c>
      <c r="S68" s="28">
        <v>0</v>
      </c>
      <c r="T68" s="28">
        <v>92029.13</v>
      </c>
      <c r="U68" s="28">
        <v>0</v>
      </c>
      <c r="V68" s="31"/>
      <c r="W68" s="28">
        <f t="shared" si="5"/>
        <v>92029.13</v>
      </c>
      <c r="X68" s="28">
        <f t="shared" si="6"/>
        <v>236066.35</v>
      </c>
      <c r="Y68" s="22">
        <v>0</v>
      </c>
      <c r="Z68" s="22">
        <v>0</v>
      </c>
      <c r="AA68" s="22">
        <v>0</v>
      </c>
      <c r="AB68" s="22">
        <f>79809.84-1232.51</f>
        <v>78577.33</v>
      </c>
      <c r="AC68" s="22">
        <v>0</v>
      </c>
      <c r="AD68" s="22">
        <v>0</v>
      </c>
      <c r="AE68" s="30">
        <f t="shared" si="0"/>
        <v>78577.33</v>
      </c>
      <c r="AF68" s="30">
        <f t="shared" si="1"/>
        <v>314643.68</v>
      </c>
      <c r="AG68" s="22">
        <v>0</v>
      </c>
      <c r="AH68" s="22">
        <v>0</v>
      </c>
      <c r="AI68" s="22">
        <v>0</v>
      </c>
      <c r="AJ68" s="22">
        <v>81042.349999999991</v>
      </c>
      <c r="AK68" s="22">
        <v>0</v>
      </c>
      <c r="AL68" s="22">
        <v>45360</v>
      </c>
      <c r="AM68" s="30">
        <f t="shared" si="7"/>
        <v>126402.34999999999</v>
      </c>
      <c r="AN68" s="22">
        <v>0</v>
      </c>
      <c r="AO68" s="22">
        <v>0</v>
      </c>
      <c r="AP68" s="22">
        <v>0</v>
      </c>
      <c r="AQ68" s="22">
        <v>79809.84</v>
      </c>
      <c r="AR68" s="22">
        <v>0</v>
      </c>
      <c r="AS68" s="22">
        <v>9520</v>
      </c>
      <c r="AT68" s="30">
        <f>+AN68+AO68+AP68+AQ68+AR68+AS68</f>
        <v>89329.84</v>
      </c>
      <c r="AU68" s="30">
        <f t="shared" si="9"/>
        <v>294309.52</v>
      </c>
      <c r="AV68" s="22">
        <v>0</v>
      </c>
      <c r="AW68" s="22">
        <v>0</v>
      </c>
      <c r="AX68" s="22">
        <v>0</v>
      </c>
      <c r="AY68" s="22">
        <v>79809.84</v>
      </c>
      <c r="AZ68" s="22">
        <v>0</v>
      </c>
      <c r="BA68" s="22">
        <v>12040</v>
      </c>
      <c r="BB68" s="22">
        <f>+AV68+AW68+AX68+AY68+AZ68+BA68</f>
        <v>91849.84</v>
      </c>
      <c r="BC68" s="22">
        <v>0</v>
      </c>
      <c r="BD68" s="22">
        <v>0</v>
      </c>
      <c r="BE68" s="22">
        <v>0</v>
      </c>
      <c r="BF68" s="22">
        <v>79809.84</v>
      </c>
      <c r="BG68" s="22">
        <v>0</v>
      </c>
      <c r="BH68" s="22">
        <f t="shared" si="11"/>
        <v>79809.84</v>
      </c>
      <c r="BI68" s="22">
        <v>0</v>
      </c>
      <c r="BJ68" s="22">
        <v>0</v>
      </c>
      <c r="BK68" s="22">
        <v>0</v>
      </c>
      <c r="BL68" s="22">
        <v>79809.84</v>
      </c>
      <c r="BM68" s="22">
        <v>0</v>
      </c>
      <c r="BN68" s="22">
        <f t="shared" si="12"/>
        <v>79809.84</v>
      </c>
      <c r="BO68" s="22">
        <f t="shared" si="13"/>
        <v>251469.52</v>
      </c>
      <c r="BP68" s="22">
        <f t="shared" si="2"/>
        <v>781845.3899999999</v>
      </c>
      <c r="BQ68" s="22">
        <v>0</v>
      </c>
      <c r="BR68" s="22">
        <v>0</v>
      </c>
      <c r="BS68" s="22">
        <v>0</v>
      </c>
      <c r="BT68" s="22">
        <v>19952.46</v>
      </c>
      <c r="BU68" s="22">
        <v>0</v>
      </c>
      <c r="BV68" s="30">
        <f t="shared" si="14"/>
        <v>19952.46</v>
      </c>
      <c r="BW68" s="22">
        <v>0</v>
      </c>
      <c r="BX68" s="22">
        <v>0</v>
      </c>
      <c r="BY68" s="22">
        <v>0</v>
      </c>
      <c r="BZ68" s="22">
        <v>13620.819999999998</v>
      </c>
      <c r="CA68" s="22">
        <v>0</v>
      </c>
      <c r="CB68" s="22">
        <f t="shared" si="15"/>
        <v>13620.819999999998</v>
      </c>
      <c r="CC68" s="22">
        <v>0</v>
      </c>
      <c r="CD68" s="22">
        <v>0</v>
      </c>
      <c r="CE68" s="22">
        <v>0</v>
      </c>
      <c r="CF68" s="22">
        <v>10375.280000000001</v>
      </c>
      <c r="CG68" s="22">
        <v>0</v>
      </c>
      <c r="CH68" s="30">
        <f t="shared" si="16"/>
        <v>10375.280000000001</v>
      </c>
      <c r="CI68" s="30">
        <f t="shared" si="17"/>
        <v>43948.56</v>
      </c>
      <c r="CJ68" s="30">
        <f t="shared" si="18"/>
        <v>825793.95</v>
      </c>
    </row>
    <row r="69" spans="1:88" s="4" customFormat="1">
      <c r="A69" s="27" t="s">
        <v>156</v>
      </c>
      <c r="B69" s="27" t="s">
        <v>157</v>
      </c>
      <c r="C69" s="28"/>
      <c r="D69" s="28">
        <v>621664.71000000008</v>
      </c>
      <c r="E69" s="28">
        <v>0</v>
      </c>
      <c r="F69" s="28">
        <v>0</v>
      </c>
      <c r="G69" s="28">
        <v>2518.7600000000002</v>
      </c>
      <c r="H69" s="28"/>
      <c r="I69" s="28">
        <f t="shared" si="3"/>
        <v>624183.47000000009</v>
      </c>
      <c r="J69" s="28">
        <v>670503.1</v>
      </c>
      <c r="K69" s="28">
        <v>0</v>
      </c>
      <c r="L69" s="28">
        <v>0</v>
      </c>
      <c r="M69" s="28">
        <v>2480.1</v>
      </c>
      <c r="N69" s="28">
        <v>0</v>
      </c>
      <c r="O69" s="29"/>
      <c r="P69" s="28">
        <f t="shared" si="4"/>
        <v>672983.2</v>
      </c>
      <c r="Q69" s="28">
        <v>672530.68</v>
      </c>
      <c r="R69" s="28">
        <v>0</v>
      </c>
      <c r="S69" s="28">
        <v>0</v>
      </c>
      <c r="T69" s="28">
        <v>2487.6</v>
      </c>
      <c r="U69" s="28">
        <v>0</v>
      </c>
      <c r="V69" s="31"/>
      <c r="W69" s="28">
        <f t="shared" si="5"/>
        <v>675018.28</v>
      </c>
      <c r="X69" s="28">
        <f t="shared" si="6"/>
        <v>1972184.95</v>
      </c>
      <c r="Y69" s="22">
        <v>688063.1256250001</v>
      </c>
      <c r="Z69" s="22">
        <v>0</v>
      </c>
      <c r="AA69" s="22">
        <v>0</v>
      </c>
      <c r="AB69" s="22">
        <v>2531.04</v>
      </c>
      <c r="AC69" s="22">
        <v>0</v>
      </c>
      <c r="AD69" s="22">
        <v>0</v>
      </c>
      <c r="AE69" s="30">
        <f t="shared" si="0"/>
        <v>690594.16562500014</v>
      </c>
      <c r="AF69" s="30">
        <f t="shared" si="1"/>
        <v>2662779.1156250001</v>
      </c>
      <c r="AG69" s="22">
        <v>688063.1256250001</v>
      </c>
      <c r="AH69" s="22">
        <v>0</v>
      </c>
      <c r="AI69" s="22">
        <v>0</v>
      </c>
      <c r="AJ69" s="22">
        <v>2531.04</v>
      </c>
      <c r="AK69" s="22">
        <v>0</v>
      </c>
      <c r="AL69" s="22">
        <v>0</v>
      </c>
      <c r="AM69" s="30">
        <f t="shared" si="7"/>
        <v>690594.16562500014</v>
      </c>
      <c r="AN69" s="22">
        <v>688063.1256250001</v>
      </c>
      <c r="AO69" s="22">
        <v>0</v>
      </c>
      <c r="AP69" s="22">
        <v>0</v>
      </c>
      <c r="AQ69" s="22">
        <v>2531.04</v>
      </c>
      <c r="AR69" s="22">
        <v>0</v>
      </c>
      <c r="AS69" s="22">
        <v>0</v>
      </c>
      <c r="AT69" s="30">
        <f t="shared" si="8"/>
        <v>690594.16562500014</v>
      </c>
      <c r="AU69" s="30">
        <f t="shared" si="9"/>
        <v>2071782.4968750004</v>
      </c>
      <c r="AV69" s="22">
        <v>688063.1256250001</v>
      </c>
      <c r="AW69" s="22">
        <v>0</v>
      </c>
      <c r="AX69" s="22">
        <v>0</v>
      </c>
      <c r="AY69" s="22">
        <v>2531.04</v>
      </c>
      <c r="AZ69" s="22">
        <v>0</v>
      </c>
      <c r="BA69" s="22">
        <v>0</v>
      </c>
      <c r="BB69" s="22">
        <f t="shared" si="10"/>
        <v>690594.16562500014</v>
      </c>
      <c r="BC69" s="22">
        <v>688063.1256250001</v>
      </c>
      <c r="BD69" s="22">
        <v>0</v>
      </c>
      <c r="BE69" s="22">
        <v>0</v>
      </c>
      <c r="BF69" s="22">
        <v>2531.04</v>
      </c>
      <c r="BG69" s="22">
        <v>0</v>
      </c>
      <c r="BH69" s="22">
        <f t="shared" si="11"/>
        <v>690594.16562500014</v>
      </c>
      <c r="BI69" s="22">
        <v>688063.1256250001</v>
      </c>
      <c r="BJ69" s="22">
        <v>0</v>
      </c>
      <c r="BK69" s="22">
        <v>0</v>
      </c>
      <c r="BL69" s="22">
        <v>2531.04</v>
      </c>
      <c r="BM69" s="22">
        <v>0</v>
      </c>
      <c r="BN69" s="22">
        <f t="shared" si="12"/>
        <v>690594.16562500014</v>
      </c>
      <c r="BO69" s="22">
        <f t="shared" si="13"/>
        <v>2071782.4968750004</v>
      </c>
      <c r="BP69" s="22">
        <f t="shared" si="2"/>
        <v>6115749.9437500015</v>
      </c>
      <c r="BQ69" s="22">
        <v>228246.87</v>
      </c>
      <c r="BR69" s="22">
        <v>0</v>
      </c>
      <c r="BS69" s="22">
        <v>0</v>
      </c>
      <c r="BT69" s="22">
        <v>632.76</v>
      </c>
      <c r="BU69" s="22">
        <v>0</v>
      </c>
      <c r="BV69" s="30">
        <f t="shared" si="14"/>
        <v>228879.63</v>
      </c>
      <c r="BW69" s="22">
        <v>155815.91000000003</v>
      </c>
      <c r="BX69" s="22">
        <v>0</v>
      </c>
      <c r="BY69" s="22">
        <v>0</v>
      </c>
      <c r="BZ69" s="22">
        <v>431.96</v>
      </c>
      <c r="CA69" s="22">
        <v>0</v>
      </c>
      <c r="CB69" s="22">
        <f t="shared" si="15"/>
        <v>156247.87000000002</v>
      </c>
      <c r="CC69" s="22">
        <v>118688.37</v>
      </c>
      <c r="CD69" s="22">
        <v>0</v>
      </c>
      <c r="CE69" s="22">
        <v>0</v>
      </c>
      <c r="CF69" s="22">
        <v>329.04</v>
      </c>
      <c r="CG69" s="22">
        <v>0</v>
      </c>
      <c r="CH69" s="30">
        <f t="shared" si="16"/>
        <v>119017.40999999999</v>
      </c>
      <c r="CI69" s="30">
        <f t="shared" si="17"/>
        <v>504144.91</v>
      </c>
      <c r="CJ69" s="30">
        <f t="shared" si="18"/>
        <v>6619894.8537500007</v>
      </c>
    </row>
    <row r="70" spans="1:88" s="4" customFormat="1">
      <c r="A70" s="27" t="s">
        <v>158</v>
      </c>
      <c r="B70" s="27" t="s">
        <v>159</v>
      </c>
      <c r="C70" s="28"/>
      <c r="D70" s="28">
        <v>0</v>
      </c>
      <c r="E70" s="28">
        <v>0</v>
      </c>
      <c r="F70" s="28">
        <v>0</v>
      </c>
      <c r="G70" s="28">
        <v>0</v>
      </c>
      <c r="H70" s="28"/>
      <c r="I70" s="28">
        <f t="shared" si="3"/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9"/>
      <c r="P70" s="28">
        <f t="shared" si="4"/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31"/>
      <c r="W70" s="28">
        <f t="shared" si="5"/>
        <v>0</v>
      </c>
      <c r="X70" s="28">
        <f t="shared" si="6"/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30">
        <f t="shared" si="0"/>
        <v>0</v>
      </c>
      <c r="AF70" s="30">
        <f t="shared" si="1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30">
        <f t="shared" si="7"/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30">
        <f t="shared" si="8"/>
        <v>0</v>
      </c>
      <c r="AU70" s="30">
        <f t="shared" si="9"/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f t="shared" si="10"/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f t="shared" si="11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f t="shared" si="12"/>
        <v>0</v>
      </c>
      <c r="BO70" s="22">
        <f t="shared" si="13"/>
        <v>0</v>
      </c>
      <c r="BP70" s="22">
        <f t="shared" si="2"/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30">
        <f t="shared" si="14"/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f t="shared" si="15"/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30">
        <f t="shared" si="16"/>
        <v>0</v>
      </c>
      <c r="CI70" s="30">
        <f t="shared" si="17"/>
        <v>0</v>
      </c>
      <c r="CJ70" s="30">
        <f t="shared" si="18"/>
        <v>0</v>
      </c>
    </row>
    <row r="71" spans="1:88" s="4" customFormat="1">
      <c r="A71" s="27" t="s">
        <v>160</v>
      </c>
      <c r="B71" s="27" t="s">
        <v>161</v>
      </c>
      <c r="C71" s="28"/>
      <c r="D71" s="28">
        <v>0</v>
      </c>
      <c r="E71" s="28">
        <v>0</v>
      </c>
      <c r="F71" s="28">
        <v>0</v>
      </c>
      <c r="G71" s="28">
        <v>222753.83</v>
      </c>
      <c r="H71" s="28"/>
      <c r="I71" s="28">
        <f t="shared" si="3"/>
        <v>222753.83</v>
      </c>
      <c r="J71" s="28">
        <v>0</v>
      </c>
      <c r="K71" s="28">
        <v>0</v>
      </c>
      <c r="L71" s="28">
        <v>0</v>
      </c>
      <c r="M71" s="28">
        <v>219334.31</v>
      </c>
      <c r="N71" s="28">
        <v>0</v>
      </c>
      <c r="O71" s="29"/>
      <c r="P71" s="28">
        <f t="shared" si="4"/>
        <v>219334.31</v>
      </c>
      <c r="Q71" s="28">
        <v>0</v>
      </c>
      <c r="R71" s="28">
        <v>0</v>
      </c>
      <c r="S71" s="28">
        <v>0</v>
      </c>
      <c r="T71" s="28">
        <v>219997.57</v>
      </c>
      <c r="U71" s="28">
        <v>0</v>
      </c>
      <c r="V71" s="31"/>
      <c r="W71" s="28">
        <f t="shared" si="5"/>
        <v>219997.57</v>
      </c>
      <c r="X71" s="28">
        <f t="shared" si="6"/>
        <v>662085.71</v>
      </c>
      <c r="Y71" s="22">
        <v>0</v>
      </c>
      <c r="Z71" s="22">
        <v>0</v>
      </c>
      <c r="AA71" s="22">
        <v>0</v>
      </c>
      <c r="AB71" s="22">
        <v>223839.42</v>
      </c>
      <c r="AC71" s="22">
        <v>0</v>
      </c>
      <c r="AD71" s="22">
        <v>0</v>
      </c>
      <c r="AE71" s="30">
        <f t="shared" ref="AE71:AE107" si="19">+Y71+Z71+AA71+AB71+AC71+AD71</f>
        <v>223839.42</v>
      </c>
      <c r="AF71" s="30">
        <f t="shared" ref="AF71:AF107" si="20">+C71+I71+P71+W71+AE71</f>
        <v>885925.13</v>
      </c>
      <c r="AG71" s="22">
        <v>0</v>
      </c>
      <c r="AH71" s="22">
        <v>0</v>
      </c>
      <c r="AI71" s="22">
        <v>0</v>
      </c>
      <c r="AJ71" s="22">
        <v>241131.22</v>
      </c>
      <c r="AK71" s="22">
        <v>0</v>
      </c>
      <c r="AL71" s="22">
        <v>0</v>
      </c>
      <c r="AM71" s="30">
        <f t="shared" si="7"/>
        <v>241131.22</v>
      </c>
      <c r="AN71" s="22">
        <v>0</v>
      </c>
      <c r="AO71" s="22">
        <v>0</v>
      </c>
      <c r="AP71" s="22">
        <v>0</v>
      </c>
      <c r="AQ71" s="22">
        <v>223839.42</v>
      </c>
      <c r="AR71" s="22">
        <v>0</v>
      </c>
      <c r="AS71" s="22">
        <v>0</v>
      </c>
      <c r="AT71" s="30">
        <f t="shared" si="8"/>
        <v>223839.42</v>
      </c>
      <c r="AU71" s="30">
        <f t="shared" si="9"/>
        <v>688810.06</v>
      </c>
      <c r="AV71" s="22">
        <v>0</v>
      </c>
      <c r="AW71" s="22">
        <v>0</v>
      </c>
      <c r="AX71" s="22">
        <v>0</v>
      </c>
      <c r="AY71" s="22">
        <v>223839.42</v>
      </c>
      <c r="AZ71" s="22">
        <v>0</v>
      </c>
      <c r="BA71" s="22">
        <v>0</v>
      </c>
      <c r="BB71" s="22">
        <f t="shared" si="10"/>
        <v>223839.42</v>
      </c>
      <c r="BC71" s="22">
        <v>0</v>
      </c>
      <c r="BD71" s="22">
        <v>0</v>
      </c>
      <c r="BE71" s="22">
        <v>0</v>
      </c>
      <c r="BF71" s="22">
        <v>223839.42</v>
      </c>
      <c r="BG71" s="22">
        <v>0</v>
      </c>
      <c r="BH71" s="22">
        <f t="shared" si="11"/>
        <v>223839.42</v>
      </c>
      <c r="BI71" s="22">
        <v>0</v>
      </c>
      <c r="BJ71" s="22">
        <v>0</v>
      </c>
      <c r="BK71" s="22">
        <v>0</v>
      </c>
      <c r="BL71" s="22">
        <v>223839.42</v>
      </c>
      <c r="BM71" s="22">
        <v>0</v>
      </c>
      <c r="BN71" s="22">
        <f t="shared" si="12"/>
        <v>223839.42</v>
      </c>
      <c r="BO71" s="22">
        <f t="shared" si="13"/>
        <v>671518.26</v>
      </c>
      <c r="BP71" s="22">
        <f t="shared" ref="BP71:BP107" si="21">+C71+I71+P71+W71+AE71+AM71+AT71+BB71+BH71+BN71</f>
        <v>2022414.0299999998</v>
      </c>
      <c r="BQ71" s="22">
        <v>0</v>
      </c>
      <c r="BR71" s="22">
        <v>0</v>
      </c>
      <c r="BS71" s="22">
        <v>0</v>
      </c>
      <c r="BT71" s="22">
        <v>55959.86</v>
      </c>
      <c r="BU71" s="22">
        <v>0</v>
      </c>
      <c r="BV71" s="30">
        <f t="shared" si="14"/>
        <v>55959.86</v>
      </c>
      <c r="BW71" s="22">
        <v>0</v>
      </c>
      <c r="BX71" s="22">
        <v>0</v>
      </c>
      <c r="BY71" s="22">
        <v>0</v>
      </c>
      <c r="BZ71" s="22">
        <v>38201.770000000004</v>
      </c>
      <c r="CA71" s="22">
        <v>0</v>
      </c>
      <c r="CB71" s="22">
        <f t="shared" si="15"/>
        <v>38201.770000000004</v>
      </c>
      <c r="CC71" s="22">
        <v>0</v>
      </c>
      <c r="CD71" s="22">
        <v>0</v>
      </c>
      <c r="CE71" s="22">
        <v>0</v>
      </c>
      <c r="CF71" s="22">
        <v>29099.119999999999</v>
      </c>
      <c r="CG71" s="22">
        <v>0</v>
      </c>
      <c r="CH71" s="30">
        <f t="shared" si="16"/>
        <v>29099.119999999999</v>
      </c>
      <c r="CI71" s="30">
        <f t="shared" si="17"/>
        <v>123260.75</v>
      </c>
      <c r="CJ71" s="30">
        <f t="shared" si="18"/>
        <v>2145674.7800000003</v>
      </c>
    </row>
    <row r="72" spans="1:88" s="4" customFormat="1">
      <c r="A72" s="27" t="s">
        <v>162</v>
      </c>
      <c r="B72" s="27" t="s">
        <v>163</v>
      </c>
      <c r="C72" s="28"/>
      <c r="D72" s="28">
        <v>1382712.69</v>
      </c>
      <c r="E72" s="28">
        <v>144888.54</v>
      </c>
      <c r="F72" s="28">
        <v>0</v>
      </c>
      <c r="G72" s="28">
        <v>109720.6</v>
      </c>
      <c r="H72" s="28"/>
      <c r="I72" s="28">
        <f t="shared" ref="I72:I107" si="22">+D72+E72+F72+G72+H72</f>
        <v>1637321.83</v>
      </c>
      <c r="J72" s="28">
        <v>1361486.53</v>
      </c>
      <c r="K72" s="28">
        <v>142664.34</v>
      </c>
      <c r="L72" s="28">
        <v>0</v>
      </c>
      <c r="M72" s="28">
        <v>108036.26</v>
      </c>
      <c r="N72" s="28">
        <v>0</v>
      </c>
      <c r="O72" s="29"/>
      <c r="P72" s="28">
        <f t="shared" ref="P72:P107" si="23">+J72+K72+L72+M72+N72+O72</f>
        <v>1612187.1300000001</v>
      </c>
      <c r="Q72" s="28">
        <v>1365603.61</v>
      </c>
      <c r="R72" s="28">
        <v>143095.75</v>
      </c>
      <c r="S72" s="28">
        <v>0</v>
      </c>
      <c r="T72" s="28">
        <v>108362.96</v>
      </c>
      <c r="U72" s="28">
        <v>0</v>
      </c>
      <c r="V72" s="31"/>
      <c r="W72" s="28">
        <f t="shared" ref="W72:W107" si="24">+Q72+R72+S72+T72+U72+V72</f>
        <v>1617062.32</v>
      </c>
      <c r="X72" s="28">
        <f t="shared" ref="X72:X107" si="25">+C72+I72+P72+W72</f>
        <v>4866571.28</v>
      </c>
      <c r="Y72" s="22">
        <v>1395821.115</v>
      </c>
      <c r="Z72" s="22">
        <v>145594.65</v>
      </c>
      <c r="AA72" s="22">
        <v>0</v>
      </c>
      <c r="AB72" s="22">
        <v>110255.32</v>
      </c>
      <c r="AC72" s="22">
        <v>0</v>
      </c>
      <c r="AD72" s="22">
        <v>0</v>
      </c>
      <c r="AE72" s="30">
        <f t="shared" si="19"/>
        <v>1651671.085</v>
      </c>
      <c r="AF72" s="30">
        <f t="shared" si="20"/>
        <v>6518242.3650000002</v>
      </c>
      <c r="AG72" s="22">
        <v>1395821.115</v>
      </c>
      <c r="AH72" s="22">
        <v>145594.65</v>
      </c>
      <c r="AI72" s="22">
        <v>0</v>
      </c>
      <c r="AJ72" s="22">
        <v>110255.32</v>
      </c>
      <c r="AK72" s="22">
        <v>0</v>
      </c>
      <c r="AL72" s="22">
        <v>0</v>
      </c>
      <c r="AM72" s="30">
        <f t="shared" ref="AM72:AM107" si="26">+AG72+AH72+AI72+AJ72+AK72+AL72</f>
        <v>1651671.085</v>
      </c>
      <c r="AN72" s="22">
        <v>1395821.115</v>
      </c>
      <c r="AO72" s="22">
        <v>145594.65</v>
      </c>
      <c r="AP72" s="22">
        <v>0</v>
      </c>
      <c r="AQ72" s="22">
        <v>110255.32</v>
      </c>
      <c r="AR72" s="22">
        <v>0</v>
      </c>
      <c r="AS72" s="22">
        <v>0</v>
      </c>
      <c r="AT72" s="30">
        <f t="shared" ref="AT72:AT107" si="27">+AN72+AO72+AP72+AQ72+AR72+AS72</f>
        <v>1651671.085</v>
      </c>
      <c r="AU72" s="30">
        <f t="shared" ref="AU72:AU107" si="28">+AE72+AM72+AT72</f>
        <v>4955013.2549999999</v>
      </c>
      <c r="AV72" s="22">
        <v>1395821.115</v>
      </c>
      <c r="AW72" s="22">
        <v>145594.65</v>
      </c>
      <c r="AX72" s="22">
        <v>0</v>
      </c>
      <c r="AY72" s="22">
        <v>110255.32</v>
      </c>
      <c r="AZ72" s="22">
        <v>0</v>
      </c>
      <c r="BA72" s="22">
        <v>0</v>
      </c>
      <c r="BB72" s="22">
        <f t="shared" ref="BB72:BB107" si="29">+AV72+AW72+AX72+AY72+AZ72+BA72</f>
        <v>1651671.085</v>
      </c>
      <c r="BC72" s="22">
        <v>1395821.115</v>
      </c>
      <c r="BD72" s="22">
        <v>145594.65</v>
      </c>
      <c r="BE72" s="22">
        <v>0</v>
      </c>
      <c r="BF72" s="22">
        <v>110255.32</v>
      </c>
      <c r="BG72" s="22">
        <v>0</v>
      </c>
      <c r="BH72" s="22">
        <f t="shared" ref="BH72:BH107" si="30">+BC72+BD72+BE72+BF72+BG72</f>
        <v>1651671.085</v>
      </c>
      <c r="BI72" s="22">
        <v>1395821.115</v>
      </c>
      <c r="BJ72" s="22">
        <v>145594.65</v>
      </c>
      <c r="BK72" s="22">
        <v>0</v>
      </c>
      <c r="BL72" s="22">
        <v>110255.32</v>
      </c>
      <c r="BM72" s="22">
        <v>0</v>
      </c>
      <c r="BN72" s="22">
        <f t="shared" ref="BN72:BN107" si="31">+BI72+BJ72+BK72+BL72+BM72</f>
        <v>1651671.085</v>
      </c>
      <c r="BO72" s="22">
        <f t="shared" ref="BO72:BO107" si="32">+BB72+BH72+BN72</f>
        <v>4955013.2549999999</v>
      </c>
      <c r="BP72" s="22">
        <f t="shared" si="21"/>
        <v>14776597.790000003</v>
      </c>
      <c r="BQ72" s="22">
        <v>337363.22</v>
      </c>
      <c r="BR72" s="22">
        <v>36398.660000000003</v>
      </c>
      <c r="BS72" s="22">
        <v>0</v>
      </c>
      <c r="BT72" s="22">
        <v>27563.83</v>
      </c>
      <c r="BU72" s="22">
        <v>0</v>
      </c>
      <c r="BV72" s="30">
        <f t="shared" ref="BV72:BV107" si="33">+BQ72+BR72+BS72+BT72+BU72</f>
        <v>401325.71</v>
      </c>
      <c r="BW72" s="22">
        <v>230305.70000000007</v>
      </c>
      <c r="BX72" s="22">
        <v>24848.06</v>
      </c>
      <c r="BY72" s="22">
        <v>0</v>
      </c>
      <c r="BZ72" s="22">
        <v>18816.829999999994</v>
      </c>
      <c r="CA72" s="22">
        <v>0</v>
      </c>
      <c r="CB72" s="22">
        <f t="shared" ref="CB72:CB107" si="34">+BW72+BX72+BY72+BZ72+CA72</f>
        <v>273970.59000000008</v>
      </c>
      <c r="CC72" s="22">
        <v>175428.87</v>
      </c>
      <c r="CD72" s="22">
        <v>18927.3</v>
      </c>
      <c r="CE72" s="22">
        <v>0</v>
      </c>
      <c r="CF72" s="22">
        <v>14333.19</v>
      </c>
      <c r="CG72" s="22">
        <v>0</v>
      </c>
      <c r="CH72" s="30">
        <f t="shared" ref="CH72:CH107" si="35">+CC72+CD72+CE72+CF72+CG72</f>
        <v>208689.36</v>
      </c>
      <c r="CI72" s="30">
        <f t="shared" ref="CI72:CI107" si="36">+BV72+CB72+CH72</f>
        <v>883985.66</v>
      </c>
      <c r="CJ72" s="30">
        <f t="shared" ref="CJ72:CJ107" si="37">+X72+AU72+BO72+CI72</f>
        <v>15660583.449999999</v>
      </c>
    </row>
    <row r="73" spans="1:88" s="4" customFormat="1">
      <c r="A73" s="27" t="s">
        <v>164</v>
      </c>
      <c r="B73" s="27" t="s">
        <v>165</v>
      </c>
      <c r="C73" s="28"/>
      <c r="D73" s="28">
        <v>2781653.42</v>
      </c>
      <c r="E73" s="28">
        <v>420984.48</v>
      </c>
      <c r="F73" s="28">
        <v>0</v>
      </c>
      <c r="G73" s="28">
        <v>162522.32999999999</v>
      </c>
      <c r="H73" s="28"/>
      <c r="I73" s="28">
        <f t="shared" si="22"/>
        <v>3365160.23</v>
      </c>
      <c r="J73" s="28">
        <v>2738951.99</v>
      </c>
      <c r="K73" s="28">
        <v>414521.91</v>
      </c>
      <c r="L73" s="28">
        <v>0</v>
      </c>
      <c r="M73" s="28">
        <v>160027.43</v>
      </c>
      <c r="N73" s="28">
        <v>0</v>
      </c>
      <c r="O73" s="29"/>
      <c r="P73" s="28">
        <f t="shared" si="23"/>
        <v>3313501.3300000005</v>
      </c>
      <c r="Q73" s="28">
        <v>2747234.47</v>
      </c>
      <c r="R73" s="28">
        <v>415775.4</v>
      </c>
      <c r="S73" s="28">
        <v>0</v>
      </c>
      <c r="T73" s="28">
        <v>160511.35</v>
      </c>
      <c r="U73" s="28">
        <v>0</v>
      </c>
      <c r="V73" s="31"/>
      <c r="W73" s="28">
        <f t="shared" si="24"/>
        <v>3323521.22</v>
      </c>
      <c r="X73" s="28">
        <f t="shared" si="25"/>
        <v>10002182.780000001</v>
      </c>
      <c r="Y73" s="22">
        <v>2781287.5999999996</v>
      </c>
      <c r="Z73" s="22">
        <v>423141.94</v>
      </c>
      <c r="AA73" s="22">
        <v>0</v>
      </c>
      <c r="AB73" s="22">
        <v>163314.38</v>
      </c>
      <c r="AC73" s="22">
        <v>0</v>
      </c>
      <c r="AD73" s="22">
        <v>41720</v>
      </c>
      <c r="AE73" s="30">
        <f t="shared" si="19"/>
        <v>3409463.9199999995</v>
      </c>
      <c r="AF73" s="30">
        <f t="shared" si="20"/>
        <v>13411646.700000001</v>
      </c>
      <c r="AG73" s="22">
        <v>2781287.5999999996</v>
      </c>
      <c r="AH73" s="22">
        <v>423141.94</v>
      </c>
      <c r="AI73" s="22">
        <v>0</v>
      </c>
      <c r="AJ73" s="22">
        <v>163314.38</v>
      </c>
      <c r="AK73" s="22">
        <v>0</v>
      </c>
      <c r="AL73" s="22">
        <v>54880</v>
      </c>
      <c r="AM73" s="30">
        <f t="shared" si="26"/>
        <v>3422623.9199999995</v>
      </c>
      <c r="AN73" s="22">
        <v>2781287.5999999996</v>
      </c>
      <c r="AO73" s="22">
        <v>423141.94</v>
      </c>
      <c r="AP73" s="22">
        <v>0</v>
      </c>
      <c r="AQ73" s="22">
        <v>163314.38</v>
      </c>
      <c r="AR73" s="22">
        <v>0</v>
      </c>
      <c r="AS73" s="22">
        <v>44800</v>
      </c>
      <c r="AT73" s="30">
        <f t="shared" si="27"/>
        <v>3412543.9199999995</v>
      </c>
      <c r="AU73" s="30">
        <f t="shared" si="28"/>
        <v>10244631.759999998</v>
      </c>
      <c r="AV73" s="22">
        <v>2781287.5999999996</v>
      </c>
      <c r="AW73" s="22">
        <v>423141.94</v>
      </c>
      <c r="AX73" s="22">
        <v>0</v>
      </c>
      <c r="AY73" s="22">
        <v>163314.38</v>
      </c>
      <c r="AZ73" s="22">
        <v>0</v>
      </c>
      <c r="BA73" s="22">
        <v>35840</v>
      </c>
      <c r="BB73" s="22">
        <f t="shared" si="29"/>
        <v>3403583.9199999995</v>
      </c>
      <c r="BC73" s="22">
        <v>2781287.5999999996</v>
      </c>
      <c r="BD73" s="22">
        <v>423141.94</v>
      </c>
      <c r="BE73" s="22">
        <v>0</v>
      </c>
      <c r="BF73" s="22">
        <v>163314.38</v>
      </c>
      <c r="BG73" s="22">
        <v>0</v>
      </c>
      <c r="BH73" s="22">
        <f t="shared" si="30"/>
        <v>3367743.9199999995</v>
      </c>
      <c r="BI73" s="22">
        <v>2781287.5999999996</v>
      </c>
      <c r="BJ73" s="22">
        <v>423141.94</v>
      </c>
      <c r="BK73" s="22">
        <v>0</v>
      </c>
      <c r="BL73" s="22">
        <v>163314.38</v>
      </c>
      <c r="BM73" s="22">
        <v>0</v>
      </c>
      <c r="BN73" s="22">
        <f t="shared" si="31"/>
        <v>3367743.9199999995</v>
      </c>
      <c r="BO73" s="22">
        <f t="shared" si="32"/>
        <v>10139071.759999998</v>
      </c>
      <c r="BP73" s="22">
        <f t="shared" si="21"/>
        <v>30385886.299999993</v>
      </c>
      <c r="BQ73" s="22">
        <v>840009.62</v>
      </c>
      <c r="BR73" s="22">
        <v>105785.49</v>
      </c>
      <c r="BS73" s="22">
        <v>0</v>
      </c>
      <c r="BT73" s="22">
        <v>40828.6</v>
      </c>
      <c r="BU73" s="22">
        <v>0</v>
      </c>
      <c r="BV73" s="30">
        <f t="shared" si="33"/>
        <v>986623.71</v>
      </c>
      <c r="BW73" s="22">
        <v>573444.25999999989</v>
      </c>
      <c r="BX73" s="22">
        <v>72215.929999999993</v>
      </c>
      <c r="BY73" s="22">
        <v>0</v>
      </c>
      <c r="BZ73" s="22">
        <v>27872.2</v>
      </c>
      <c r="CA73" s="22">
        <v>0</v>
      </c>
      <c r="CB73" s="22">
        <f t="shared" si="34"/>
        <v>673532.3899999999</v>
      </c>
      <c r="CC73" s="22">
        <v>436805</v>
      </c>
      <c r="CD73" s="22">
        <v>55008.45</v>
      </c>
      <c r="CE73" s="22">
        <v>0</v>
      </c>
      <c r="CF73" s="22">
        <v>21230.87</v>
      </c>
      <c r="CG73" s="22">
        <v>0</v>
      </c>
      <c r="CH73" s="30">
        <f t="shared" si="35"/>
        <v>513044.32</v>
      </c>
      <c r="CI73" s="30">
        <f t="shared" si="36"/>
        <v>2173200.42</v>
      </c>
      <c r="CJ73" s="30">
        <f t="shared" si="37"/>
        <v>32559086.719999999</v>
      </c>
    </row>
    <row r="74" spans="1:88" s="4" customFormat="1">
      <c r="A74" s="27" t="s">
        <v>166</v>
      </c>
      <c r="B74" s="27" t="s">
        <v>167</v>
      </c>
      <c r="C74" s="28"/>
      <c r="D74" s="28">
        <v>0</v>
      </c>
      <c r="E74" s="28">
        <v>0</v>
      </c>
      <c r="F74" s="28">
        <v>175076.36</v>
      </c>
      <c r="G74" s="28">
        <v>0</v>
      </c>
      <c r="H74" s="28"/>
      <c r="I74" s="28">
        <f t="shared" si="22"/>
        <v>175076.36</v>
      </c>
      <c r="J74" s="28">
        <v>0</v>
      </c>
      <c r="K74" s="28">
        <v>0</v>
      </c>
      <c r="L74" s="28">
        <v>172388.75</v>
      </c>
      <c r="M74" s="28">
        <v>0</v>
      </c>
      <c r="N74" s="28">
        <v>0</v>
      </c>
      <c r="O74" s="29"/>
      <c r="P74" s="28">
        <f t="shared" si="23"/>
        <v>172388.75</v>
      </c>
      <c r="Q74" s="28">
        <v>0</v>
      </c>
      <c r="R74" s="28">
        <v>0</v>
      </c>
      <c r="S74" s="28">
        <v>172910.05</v>
      </c>
      <c r="T74" s="28">
        <v>0</v>
      </c>
      <c r="U74" s="28">
        <v>0</v>
      </c>
      <c r="V74" s="31"/>
      <c r="W74" s="28">
        <f t="shared" si="24"/>
        <v>172910.05</v>
      </c>
      <c r="X74" s="28">
        <f t="shared" si="25"/>
        <v>520375.16</v>
      </c>
      <c r="Y74" s="22">
        <v>0</v>
      </c>
      <c r="Z74" s="22">
        <v>0</v>
      </c>
      <c r="AA74" s="22">
        <v>175929.60000000001</v>
      </c>
      <c r="AB74" s="22">
        <v>0</v>
      </c>
      <c r="AC74" s="22">
        <v>0</v>
      </c>
      <c r="AD74" s="22">
        <v>0</v>
      </c>
      <c r="AE74" s="30">
        <f t="shared" si="19"/>
        <v>175929.60000000001</v>
      </c>
      <c r="AF74" s="30">
        <f t="shared" si="20"/>
        <v>696304.76</v>
      </c>
      <c r="AG74" s="22">
        <v>0</v>
      </c>
      <c r="AH74" s="22">
        <v>0</v>
      </c>
      <c r="AI74" s="22">
        <v>175929.60000000001</v>
      </c>
      <c r="AJ74" s="22">
        <v>0</v>
      </c>
      <c r="AK74" s="22">
        <v>0</v>
      </c>
      <c r="AL74" s="22">
        <v>0</v>
      </c>
      <c r="AM74" s="30">
        <f t="shared" si="26"/>
        <v>175929.60000000001</v>
      </c>
      <c r="AN74" s="22">
        <v>0</v>
      </c>
      <c r="AO74" s="22">
        <v>0</v>
      </c>
      <c r="AP74" s="22">
        <v>175929.60000000001</v>
      </c>
      <c r="AQ74" s="22">
        <v>0</v>
      </c>
      <c r="AR74" s="22">
        <v>0</v>
      </c>
      <c r="AS74" s="22">
        <v>0</v>
      </c>
      <c r="AT74" s="30">
        <f t="shared" si="27"/>
        <v>175929.60000000001</v>
      </c>
      <c r="AU74" s="30">
        <f t="shared" si="28"/>
        <v>527788.80000000005</v>
      </c>
      <c r="AV74" s="22">
        <v>0</v>
      </c>
      <c r="AW74" s="22">
        <v>0</v>
      </c>
      <c r="AX74" s="22">
        <v>175929.60000000001</v>
      </c>
      <c r="AY74" s="22">
        <v>0</v>
      </c>
      <c r="AZ74" s="22">
        <v>0</v>
      </c>
      <c r="BA74" s="22">
        <v>0</v>
      </c>
      <c r="BB74" s="22">
        <f t="shared" si="29"/>
        <v>175929.60000000001</v>
      </c>
      <c r="BC74" s="22">
        <v>0</v>
      </c>
      <c r="BD74" s="22">
        <v>0</v>
      </c>
      <c r="BE74" s="22">
        <v>175929.60000000001</v>
      </c>
      <c r="BF74" s="22">
        <v>0</v>
      </c>
      <c r="BG74" s="22">
        <v>0</v>
      </c>
      <c r="BH74" s="22">
        <f t="shared" si="30"/>
        <v>175929.60000000001</v>
      </c>
      <c r="BI74" s="22">
        <v>0</v>
      </c>
      <c r="BJ74" s="22">
        <v>0</v>
      </c>
      <c r="BK74" s="22">
        <v>175929.60000000001</v>
      </c>
      <c r="BL74" s="22">
        <v>0</v>
      </c>
      <c r="BM74" s="22">
        <v>0</v>
      </c>
      <c r="BN74" s="22">
        <f t="shared" si="31"/>
        <v>175929.60000000001</v>
      </c>
      <c r="BO74" s="22">
        <f t="shared" si="32"/>
        <v>527788.80000000005</v>
      </c>
      <c r="BP74" s="22">
        <f t="shared" si="21"/>
        <v>1575952.7600000002</v>
      </c>
      <c r="BQ74" s="22">
        <v>0</v>
      </c>
      <c r="BR74" s="22">
        <v>0</v>
      </c>
      <c r="BS74" s="22">
        <v>43982.400000000001</v>
      </c>
      <c r="BT74" s="22">
        <v>0</v>
      </c>
      <c r="BU74" s="22">
        <v>0</v>
      </c>
      <c r="BV74" s="30">
        <f t="shared" si="33"/>
        <v>43982.400000000001</v>
      </c>
      <c r="BW74" s="22">
        <v>0</v>
      </c>
      <c r="BX74" s="22">
        <v>0</v>
      </c>
      <c r="BY74" s="22">
        <v>30025.199999999997</v>
      </c>
      <c r="BZ74" s="22">
        <v>0</v>
      </c>
      <c r="CA74" s="22">
        <v>0</v>
      </c>
      <c r="CB74" s="22">
        <f t="shared" si="34"/>
        <v>30025.199999999997</v>
      </c>
      <c r="CC74" s="22">
        <v>0</v>
      </c>
      <c r="CD74" s="22">
        <v>0</v>
      </c>
      <c r="CE74" s="22">
        <v>22870.85</v>
      </c>
      <c r="CF74" s="22">
        <v>0</v>
      </c>
      <c r="CG74" s="22">
        <v>0</v>
      </c>
      <c r="CH74" s="30">
        <f t="shared" si="35"/>
        <v>22870.85</v>
      </c>
      <c r="CI74" s="30">
        <f t="shared" si="36"/>
        <v>96878.450000000012</v>
      </c>
      <c r="CJ74" s="30">
        <f t="shared" si="37"/>
        <v>1672831.21</v>
      </c>
    </row>
    <row r="75" spans="1:88" s="4" customFormat="1">
      <c r="A75" s="27" t="s">
        <v>168</v>
      </c>
      <c r="B75" s="27" t="s">
        <v>169</v>
      </c>
      <c r="C75" s="28"/>
      <c r="D75" s="28">
        <v>1295664.98</v>
      </c>
      <c r="E75" s="28">
        <v>80479.14</v>
      </c>
      <c r="F75" s="28">
        <v>0</v>
      </c>
      <c r="G75" s="28">
        <v>123811.48</v>
      </c>
      <c r="H75" s="28"/>
      <c r="I75" s="28">
        <f t="shared" si="22"/>
        <v>1499955.5999999999</v>
      </c>
      <c r="J75" s="28">
        <v>1275775.1100000001</v>
      </c>
      <c r="K75" s="28">
        <v>79243.7</v>
      </c>
      <c r="L75" s="28">
        <v>0</v>
      </c>
      <c r="M75" s="28">
        <v>121910.84</v>
      </c>
      <c r="N75" s="28">
        <v>0</v>
      </c>
      <c r="O75" s="29"/>
      <c r="P75" s="28">
        <f t="shared" si="23"/>
        <v>1476929.6500000001</v>
      </c>
      <c r="Q75" s="28">
        <v>1279632.99</v>
      </c>
      <c r="R75" s="28">
        <v>79483.33</v>
      </c>
      <c r="S75" s="28">
        <v>0</v>
      </c>
      <c r="T75" s="28">
        <v>122279.5</v>
      </c>
      <c r="U75" s="28">
        <v>0</v>
      </c>
      <c r="V75" s="31"/>
      <c r="W75" s="28">
        <f t="shared" si="24"/>
        <v>1481395.82</v>
      </c>
      <c r="X75" s="28">
        <f t="shared" si="25"/>
        <v>4458281.07</v>
      </c>
      <c r="Y75" s="22">
        <v>1000936.2935000001</v>
      </c>
      <c r="Z75" s="22">
        <v>80875.259999999995</v>
      </c>
      <c r="AA75" s="22">
        <v>0</v>
      </c>
      <c r="AB75" s="22">
        <v>124414.88</v>
      </c>
      <c r="AC75" s="22">
        <v>0</v>
      </c>
      <c r="AD75" s="22">
        <v>16520</v>
      </c>
      <c r="AE75" s="30">
        <f t="shared" si="19"/>
        <v>1222746.4335000003</v>
      </c>
      <c r="AF75" s="30">
        <f t="shared" si="20"/>
        <v>5681027.5035000006</v>
      </c>
      <c r="AG75" s="22">
        <v>1000936.2935</v>
      </c>
      <c r="AH75" s="22">
        <v>80875.259999999995</v>
      </c>
      <c r="AI75" s="22">
        <v>0</v>
      </c>
      <c r="AJ75" s="22">
        <v>164101.06</v>
      </c>
      <c r="AK75" s="22">
        <v>0</v>
      </c>
      <c r="AL75" s="22">
        <v>5040</v>
      </c>
      <c r="AM75" s="30">
        <f t="shared" si="26"/>
        <v>1250952.6135</v>
      </c>
      <c r="AN75" s="22">
        <v>1000936.2935000001</v>
      </c>
      <c r="AO75" s="22">
        <v>80875.259999999995</v>
      </c>
      <c r="AP75" s="22">
        <v>0</v>
      </c>
      <c r="AQ75" s="22">
        <v>124414.88</v>
      </c>
      <c r="AR75" s="22">
        <v>0</v>
      </c>
      <c r="AS75" s="22">
        <v>38640</v>
      </c>
      <c r="AT75" s="30">
        <f t="shared" si="27"/>
        <v>1244866.4335000003</v>
      </c>
      <c r="AU75" s="30">
        <f t="shared" si="28"/>
        <v>3718565.4805000005</v>
      </c>
      <c r="AV75" s="22">
        <v>1000936.2935000001</v>
      </c>
      <c r="AW75" s="22">
        <v>80875.259999999995</v>
      </c>
      <c r="AX75" s="22">
        <v>0</v>
      </c>
      <c r="AY75" s="22">
        <v>124414.88</v>
      </c>
      <c r="AZ75" s="22">
        <v>0</v>
      </c>
      <c r="BA75" s="22">
        <v>22120</v>
      </c>
      <c r="BB75" s="22">
        <f t="shared" si="29"/>
        <v>1228346.4335000003</v>
      </c>
      <c r="BC75" s="22">
        <v>1000936.2935000001</v>
      </c>
      <c r="BD75" s="22">
        <v>80875.259999999995</v>
      </c>
      <c r="BE75" s="22">
        <v>0</v>
      </c>
      <c r="BF75" s="22">
        <v>124414.88</v>
      </c>
      <c r="BG75" s="22">
        <v>0</v>
      </c>
      <c r="BH75" s="22">
        <f t="shared" si="30"/>
        <v>1206226.4335000003</v>
      </c>
      <c r="BI75" s="22">
        <v>1000936.2935000001</v>
      </c>
      <c r="BJ75" s="22">
        <v>80875.259999999995</v>
      </c>
      <c r="BK75" s="22">
        <v>0</v>
      </c>
      <c r="BL75" s="22">
        <v>124414.88</v>
      </c>
      <c r="BM75" s="22">
        <v>0</v>
      </c>
      <c r="BN75" s="22">
        <f t="shared" si="31"/>
        <v>1206226.4335000003</v>
      </c>
      <c r="BO75" s="22">
        <f t="shared" si="32"/>
        <v>3640799.3005000008</v>
      </c>
      <c r="BP75" s="22">
        <f t="shared" si="21"/>
        <v>11817645.851</v>
      </c>
      <c r="BQ75" s="22">
        <v>259870.89</v>
      </c>
      <c r="BR75" s="22">
        <v>20218.82</v>
      </c>
      <c r="BS75" s="22">
        <v>0</v>
      </c>
      <c r="BT75" s="22">
        <v>31103.72</v>
      </c>
      <c r="BU75" s="22">
        <v>0</v>
      </c>
      <c r="BV75" s="30">
        <f t="shared" si="33"/>
        <v>311193.43000000005</v>
      </c>
      <c r="BW75" s="22">
        <v>177404.47999999998</v>
      </c>
      <c r="BX75" s="22">
        <v>13802.65</v>
      </c>
      <c r="BY75" s="22">
        <v>0</v>
      </c>
      <c r="BZ75" s="22">
        <v>21233.389999999992</v>
      </c>
      <c r="CA75" s="22">
        <v>0</v>
      </c>
      <c r="CB75" s="22">
        <f t="shared" si="34"/>
        <v>212440.51999999996</v>
      </c>
      <c r="CC75" s="22">
        <v>135132.85999999999</v>
      </c>
      <c r="CD75" s="22">
        <v>10513.78</v>
      </c>
      <c r="CE75" s="22">
        <v>0</v>
      </c>
      <c r="CF75" s="22">
        <v>16173.93</v>
      </c>
      <c r="CG75" s="22">
        <v>0</v>
      </c>
      <c r="CH75" s="30">
        <f t="shared" si="35"/>
        <v>161820.56999999998</v>
      </c>
      <c r="CI75" s="30">
        <f t="shared" si="36"/>
        <v>685454.52</v>
      </c>
      <c r="CJ75" s="30">
        <f t="shared" si="37"/>
        <v>12503100.371000001</v>
      </c>
    </row>
    <row r="76" spans="1:88" s="4" customFormat="1">
      <c r="A76" s="27" t="s">
        <v>170</v>
      </c>
      <c r="B76" s="27" t="s">
        <v>171</v>
      </c>
      <c r="C76" s="28"/>
      <c r="D76" s="28">
        <v>0</v>
      </c>
      <c r="E76" s="28">
        <v>0</v>
      </c>
      <c r="F76" s="28">
        <v>0</v>
      </c>
      <c r="G76" s="28">
        <v>0</v>
      </c>
      <c r="H76" s="28"/>
      <c r="I76" s="28">
        <f t="shared" si="22"/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9"/>
      <c r="P76" s="28">
        <f t="shared" si="23"/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31"/>
      <c r="W76" s="28">
        <f t="shared" si="24"/>
        <v>0</v>
      </c>
      <c r="X76" s="28">
        <f t="shared" si="25"/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30">
        <f t="shared" si="19"/>
        <v>0</v>
      </c>
      <c r="AF76" s="30">
        <f t="shared" si="20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30">
        <f t="shared" si="26"/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30">
        <f t="shared" si="27"/>
        <v>0</v>
      </c>
      <c r="AU76" s="30">
        <f t="shared" si="28"/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f t="shared" si="29"/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f t="shared" si="30"/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f t="shared" si="31"/>
        <v>0</v>
      </c>
      <c r="BO76" s="22">
        <f t="shared" si="32"/>
        <v>0</v>
      </c>
      <c r="BP76" s="22">
        <f t="shared" si="21"/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30">
        <f t="shared" si="33"/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f t="shared" si="34"/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30">
        <f t="shared" si="35"/>
        <v>0</v>
      </c>
      <c r="CI76" s="30">
        <f t="shared" si="36"/>
        <v>0</v>
      </c>
      <c r="CJ76" s="30">
        <f t="shared" si="37"/>
        <v>0</v>
      </c>
    </row>
    <row r="77" spans="1:88" s="4" customFormat="1">
      <c r="A77" s="27" t="s">
        <v>172</v>
      </c>
      <c r="B77" s="27" t="s">
        <v>173</v>
      </c>
      <c r="C77" s="28"/>
      <c r="D77" s="28">
        <v>112555.65</v>
      </c>
      <c r="E77" s="28">
        <v>0</v>
      </c>
      <c r="F77" s="28">
        <v>0</v>
      </c>
      <c r="G77" s="28">
        <v>16870.2</v>
      </c>
      <c r="H77" s="28"/>
      <c r="I77" s="28">
        <f t="shared" si="22"/>
        <v>129425.84999999999</v>
      </c>
      <c r="J77" s="28">
        <v>110827.79</v>
      </c>
      <c r="K77" s="28">
        <v>0</v>
      </c>
      <c r="L77" s="28">
        <v>0</v>
      </c>
      <c r="M77" s="28">
        <v>16611.23</v>
      </c>
      <c r="N77" s="28">
        <v>0</v>
      </c>
      <c r="O77" s="29"/>
      <c r="P77" s="28">
        <f t="shared" si="23"/>
        <v>127439.01999999999</v>
      </c>
      <c r="Q77" s="28">
        <v>111162.93</v>
      </c>
      <c r="R77" s="28">
        <v>0</v>
      </c>
      <c r="S77" s="28">
        <v>0</v>
      </c>
      <c r="T77" s="28">
        <v>16661.46</v>
      </c>
      <c r="U77" s="28">
        <v>0</v>
      </c>
      <c r="V77" s="31"/>
      <c r="W77" s="28">
        <f t="shared" si="24"/>
        <v>127824.38999999998</v>
      </c>
      <c r="X77" s="28">
        <f t="shared" si="25"/>
        <v>384689.26</v>
      </c>
      <c r="Y77" s="22">
        <v>25468.3</v>
      </c>
      <c r="Z77" s="22">
        <v>0</v>
      </c>
      <c r="AA77" s="22">
        <v>0</v>
      </c>
      <c r="AB77" s="22">
        <v>16952.419999999998</v>
      </c>
      <c r="AC77" s="22">
        <v>0</v>
      </c>
      <c r="AD77" s="22">
        <v>0</v>
      </c>
      <c r="AE77" s="30">
        <f t="shared" si="19"/>
        <v>42420.72</v>
      </c>
      <c r="AF77" s="30">
        <f t="shared" si="20"/>
        <v>427109.98</v>
      </c>
      <c r="AG77" s="22">
        <v>25468.3</v>
      </c>
      <c r="AH77" s="22">
        <v>0</v>
      </c>
      <c r="AI77" s="22">
        <v>0</v>
      </c>
      <c r="AJ77" s="22">
        <v>16952.419999999998</v>
      </c>
      <c r="AK77" s="22">
        <v>0</v>
      </c>
      <c r="AL77" s="22">
        <v>0</v>
      </c>
      <c r="AM77" s="30">
        <f t="shared" si="26"/>
        <v>42420.72</v>
      </c>
      <c r="AN77" s="22">
        <v>25468.3</v>
      </c>
      <c r="AO77" s="22">
        <v>0</v>
      </c>
      <c r="AP77" s="22">
        <v>0</v>
      </c>
      <c r="AQ77" s="22">
        <v>16952.419999999998</v>
      </c>
      <c r="AR77" s="22">
        <v>0</v>
      </c>
      <c r="AS77" s="22">
        <v>0</v>
      </c>
      <c r="AT77" s="30">
        <f t="shared" si="27"/>
        <v>42420.72</v>
      </c>
      <c r="AU77" s="30">
        <f t="shared" si="28"/>
        <v>127262.16</v>
      </c>
      <c r="AV77" s="22">
        <v>25468.3</v>
      </c>
      <c r="AW77" s="22">
        <v>0</v>
      </c>
      <c r="AX77" s="22">
        <v>0</v>
      </c>
      <c r="AY77" s="22">
        <v>16952.419999999998</v>
      </c>
      <c r="AZ77" s="22">
        <v>0</v>
      </c>
      <c r="BA77" s="22">
        <v>0</v>
      </c>
      <c r="BB77" s="22">
        <f t="shared" si="29"/>
        <v>42420.72</v>
      </c>
      <c r="BC77" s="22">
        <v>25468.3</v>
      </c>
      <c r="BD77" s="22">
        <v>0</v>
      </c>
      <c r="BE77" s="22">
        <v>0</v>
      </c>
      <c r="BF77" s="22">
        <v>16952.419999999998</v>
      </c>
      <c r="BG77" s="22">
        <v>0</v>
      </c>
      <c r="BH77" s="22">
        <f t="shared" si="30"/>
        <v>42420.72</v>
      </c>
      <c r="BI77" s="22">
        <v>25468.3</v>
      </c>
      <c r="BJ77" s="22">
        <v>0</v>
      </c>
      <c r="BK77" s="22">
        <v>0</v>
      </c>
      <c r="BL77" s="22">
        <v>16952.419999999998</v>
      </c>
      <c r="BM77" s="22">
        <v>0</v>
      </c>
      <c r="BN77" s="22">
        <f t="shared" si="31"/>
        <v>42420.72</v>
      </c>
      <c r="BO77" s="22">
        <f t="shared" si="32"/>
        <v>127262.16</v>
      </c>
      <c r="BP77" s="22">
        <f t="shared" si="21"/>
        <v>639213.57999999984</v>
      </c>
      <c r="BQ77" s="22">
        <v>36746.67</v>
      </c>
      <c r="BR77" s="22">
        <v>0</v>
      </c>
      <c r="BS77" s="22">
        <v>0</v>
      </c>
      <c r="BT77" s="22">
        <v>4238.1099999999997</v>
      </c>
      <c r="BU77" s="22">
        <v>0</v>
      </c>
      <c r="BV77" s="30">
        <f t="shared" si="33"/>
        <v>40984.78</v>
      </c>
      <c r="BW77" s="22">
        <v>25085.62</v>
      </c>
      <c r="BX77" s="22">
        <v>0</v>
      </c>
      <c r="BY77" s="22">
        <v>0</v>
      </c>
      <c r="BZ77" s="22">
        <v>2893.2000000000012</v>
      </c>
      <c r="CA77" s="22">
        <v>0</v>
      </c>
      <c r="CB77" s="22">
        <f t="shared" si="34"/>
        <v>27978.82</v>
      </c>
      <c r="CC77" s="22">
        <v>19108.27</v>
      </c>
      <c r="CD77" s="22">
        <v>0</v>
      </c>
      <c r="CE77" s="22">
        <v>0</v>
      </c>
      <c r="CF77" s="22">
        <v>2203.81</v>
      </c>
      <c r="CG77" s="22">
        <v>0</v>
      </c>
      <c r="CH77" s="30">
        <f t="shared" si="35"/>
        <v>21312.080000000002</v>
      </c>
      <c r="CI77" s="30">
        <f t="shared" si="36"/>
        <v>90275.680000000008</v>
      </c>
      <c r="CJ77" s="30">
        <f t="shared" si="37"/>
        <v>729489.26000000013</v>
      </c>
    </row>
    <row r="78" spans="1:88" s="4" customFormat="1">
      <c r="A78" s="27" t="s">
        <v>174</v>
      </c>
      <c r="B78" s="27" t="s">
        <v>175</v>
      </c>
      <c r="C78" s="28"/>
      <c r="D78" s="28">
        <v>384167.09</v>
      </c>
      <c r="E78" s="28">
        <v>0</v>
      </c>
      <c r="F78" s="28">
        <v>0</v>
      </c>
      <c r="G78" s="28">
        <v>25387.919999999998</v>
      </c>
      <c r="H78" s="28"/>
      <c r="I78" s="28">
        <f t="shared" si="22"/>
        <v>409555.01</v>
      </c>
      <c r="J78" s="28">
        <v>365086.44</v>
      </c>
      <c r="K78" s="28">
        <v>0</v>
      </c>
      <c r="L78" s="28">
        <v>0</v>
      </c>
      <c r="M78" s="28">
        <v>38181.449999999997</v>
      </c>
      <c r="N78" s="28">
        <v>0</v>
      </c>
      <c r="O78" s="29"/>
      <c r="P78" s="28">
        <f t="shared" si="23"/>
        <v>403267.89</v>
      </c>
      <c r="Q78" s="28">
        <v>356778.34</v>
      </c>
      <c r="R78" s="28">
        <v>0</v>
      </c>
      <c r="S78" s="28">
        <v>0</v>
      </c>
      <c r="T78" s="28">
        <v>47709.020000000004</v>
      </c>
      <c r="U78" s="28">
        <v>0</v>
      </c>
      <c r="V78" s="31"/>
      <c r="W78" s="28">
        <f t="shared" si="24"/>
        <v>404487.36000000004</v>
      </c>
      <c r="X78" s="28">
        <f t="shared" si="25"/>
        <v>1217310.26</v>
      </c>
      <c r="Y78" s="22">
        <f>82826.172-12673.91</f>
        <v>70152.262000000002</v>
      </c>
      <c r="Z78" s="22">
        <v>0</v>
      </c>
      <c r="AA78" s="22">
        <v>0</v>
      </c>
      <c r="AB78" s="22">
        <f>25511.65+12673.91</f>
        <v>38185.56</v>
      </c>
      <c r="AC78" s="22">
        <v>0</v>
      </c>
      <c r="AD78" s="22">
        <v>0</v>
      </c>
      <c r="AE78" s="30">
        <f t="shared" si="19"/>
        <v>108337.822</v>
      </c>
      <c r="AF78" s="30">
        <f t="shared" si="20"/>
        <v>1325648.0819999999</v>
      </c>
      <c r="AG78" s="22">
        <v>61761.172000000006</v>
      </c>
      <c r="AH78" s="22">
        <v>0</v>
      </c>
      <c r="AI78" s="22">
        <v>0</v>
      </c>
      <c r="AJ78" s="22">
        <v>46576.65</v>
      </c>
      <c r="AK78" s="22">
        <v>0</v>
      </c>
      <c r="AL78" s="22">
        <v>0</v>
      </c>
      <c r="AM78" s="30">
        <f t="shared" si="26"/>
        <v>108337.82200000001</v>
      </c>
      <c r="AN78" s="22">
        <f>82826.172-10641.38</f>
        <v>72184.792000000001</v>
      </c>
      <c r="AO78" s="22">
        <v>0</v>
      </c>
      <c r="AP78" s="22">
        <v>0</v>
      </c>
      <c r="AQ78" s="22">
        <f>25511.65+10641.38</f>
        <v>36153.03</v>
      </c>
      <c r="AR78" s="22">
        <v>0</v>
      </c>
      <c r="AS78" s="22">
        <v>0</v>
      </c>
      <c r="AT78" s="30">
        <f t="shared" si="27"/>
        <v>108337.822</v>
      </c>
      <c r="AU78" s="30">
        <f t="shared" si="28"/>
        <v>325013.46600000001</v>
      </c>
      <c r="AV78" s="22">
        <f>82826.172-3163.23</f>
        <v>79662.94200000001</v>
      </c>
      <c r="AW78" s="22">
        <v>0</v>
      </c>
      <c r="AX78" s="22">
        <v>0</v>
      </c>
      <c r="AY78" s="22">
        <f>25511.65+3163.23</f>
        <v>28674.880000000001</v>
      </c>
      <c r="AZ78" s="22">
        <v>0</v>
      </c>
      <c r="BA78" s="22">
        <v>0</v>
      </c>
      <c r="BB78" s="22">
        <f t="shared" si="29"/>
        <v>108337.82200000001</v>
      </c>
      <c r="BC78" s="22">
        <f>82826.172-7159.02</f>
        <v>75667.152000000002</v>
      </c>
      <c r="BD78" s="22">
        <v>0</v>
      </c>
      <c r="BE78" s="22">
        <v>0</v>
      </c>
      <c r="BF78" s="22">
        <f>25511.65+7159.02</f>
        <v>32670.670000000002</v>
      </c>
      <c r="BG78" s="22">
        <v>0</v>
      </c>
      <c r="BH78" s="22">
        <f t="shared" si="30"/>
        <v>108337.822</v>
      </c>
      <c r="BI78" s="22">
        <v>82826.172000000006</v>
      </c>
      <c r="BJ78" s="22">
        <v>0</v>
      </c>
      <c r="BK78" s="22">
        <v>0</v>
      </c>
      <c r="BL78" s="22">
        <v>25511.65</v>
      </c>
      <c r="BM78" s="22">
        <v>0</v>
      </c>
      <c r="BN78" s="22">
        <f t="shared" si="31"/>
        <v>108337.82200000001</v>
      </c>
      <c r="BO78" s="22">
        <f t="shared" si="32"/>
        <v>325013.46600000001</v>
      </c>
      <c r="BP78" s="22">
        <f t="shared" si="21"/>
        <v>1867337.1919999996</v>
      </c>
      <c r="BQ78" s="22">
        <v>98170.8</v>
      </c>
      <c r="BR78" s="22">
        <v>0</v>
      </c>
      <c r="BS78" s="22">
        <v>0</v>
      </c>
      <c r="BT78" s="22">
        <v>6377.91</v>
      </c>
      <c r="BU78" s="22">
        <v>0</v>
      </c>
      <c r="BV78" s="30">
        <f t="shared" si="33"/>
        <v>104548.71</v>
      </c>
      <c r="BW78" s="22">
        <v>67017.66</v>
      </c>
      <c r="BX78" s="22">
        <v>0</v>
      </c>
      <c r="BY78" s="22">
        <v>0</v>
      </c>
      <c r="BZ78" s="22">
        <v>4353.9799999999996</v>
      </c>
      <c r="CA78" s="22">
        <v>0</v>
      </c>
      <c r="CB78" s="22">
        <f t="shared" si="34"/>
        <v>71371.64</v>
      </c>
      <c r="CC78" s="22">
        <v>51048.82</v>
      </c>
      <c r="CD78" s="22">
        <v>0</v>
      </c>
      <c r="CE78" s="22">
        <v>0</v>
      </c>
      <c r="CF78" s="22">
        <v>3316.51</v>
      </c>
      <c r="CG78" s="22">
        <v>0</v>
      </c>
      <c r="CH78" s="30">
        <f t="shared" si="35"/>
        <v>54365.33</v>
      </c>
      <c r="CI78" s="30">
        <f t="shared" si="36"/>
        <v>230285.68</v>
      </c>
      <c r="CJ78" s="30">
        <f t="shared" si="37"/>
        <v>2097622.872</v>
      </c>
    </row>
    <row r="79" spans="1:88" s="4" customFormat="1">
      <c r="A79" s="27" t="s">
        <v>176</v>
      </c>
      <c r="B79" s="27" t="s">
        <v>177</v>
      </c>
      <c r="C79" s="28"/>
      <c r="D79" s="28">
        <v>0</v>
      </c>
      <c r="E79" s="28">
        <v>0</v>
      </c>
      <c r="F79" s="28">
        <v>0</v>
      </c>
      <c r="G79" s="28">
        <v>142182.84</v>
      </c>
      <c r="H79" s="28"/>
      <c r="I79" s="28">
        <f t="shared" si="22"/>
        <v>142182.84</v>
      </c>
      <c r="J79" s="28">
        <v>0</v>
      </c>
      <c r="K79" s="28">
        <v>0</v>
      </c>
      <c r="L79" s="28">
        <v>0</v>
      </c>
      <c r="M79" s="28">
        <v>140000.18</v>
      </c>
      <c r="N79" s="28">
        <v>0</v>
      </c>
      <c r="O79" s="29"/>
      <c r="P79" s="28">
        <f t="shared" si="23"/>
        <v>140000.18</v>
      </c>
      <c r="Q79" s="28">
        <v>0</v>
      </c>
      <c r="R79" s="28">
        <v>0</v>
      </c>
      <c r="S79" s="28">
        <v>0</v>
      </c>
      <c r="T79" s="28">
        <v>140423.53</v>
      </c>
      <c r="U79" s="28">
        <v>0</v>
      </c>
      <c r="V79" s="31"/>
      <c r="W79" s="28">
        <f t="shared" si="24"/>
        <v>140423.53</v>
      </c>
      <c r="X79" s="28">
        <f t="shared" si="25"/>
        <v>422606.55000000005</v>
      </c>
      <c r="Y79" s="22">
        <v>0</v>
      </c>
      <c r="Z79" s="22">
        <v>0</v>
      </c>
      <c r="AA79" s="22">
        <v>0</v>
      </c>
      <c r="AB79" s="22">
        <v>142875.76999999999</v>
      </c>
      <c r="AC79" s="22">
        <v>0</v>
      </c>
      <c r="AD79" s="22">
        <v>0</v>
      </c>
      <c r="AE79" s="30">
        <f t="shared" si="19"/>
        <v>142875.76999999999</v>
      </c>
      <c r="AF79" s="30">
        <f t="shared" si="20"/>
        <v>565482.32000000007</v>
      </c>
      <c r="AG79" s="22">
        <v>0</v>
      </c>
      <c r="AH79" s="22">
        <v>0</v>
      </c>
      <c r="AI79" s="22">
        <v>0</v>
      </c>
      <c r="AJ79" s="22">
        <v>142875.76999999999</v>
      </c>
      <c r="AK79" s="22">
        <v>0</v>
      </c>
      <c r="AL79" s="22">
        <v>0</v>
      </c>
      <c r="AM79" s="30">
        <f t="shared" si="26"/>
        <v>142875.76999999999</v>
      </c>
      <c r="AN79" s="22">
        <v>0</v>
      </c>
      <c r="AO79" s="22">
        <v>0</v>
      </c>
      <c r="AP79" s="22">
        <v>0</v>
      </c>
      <c r="AQ79" s="22">
        <v>142875.76999999999</v>
      </c>
      <c r="AR79" s="22">
        <v>0</v>
      </c>
      <c r="AS79" s="22">
        <v>0</v>
      </c>
      <c r="AT79" s="30">
        <f t="shared" si="27"/>
        <v>142875.76999999999</v>
      </c>
      <c r="AU79" s="30">
        <f t="shared" si="28"/>
        <v>428627.30999999994</v>
      </c>
      <c r="AV79" s="22">
        <v>0</v>
      </c>
      <c r="AW79" s="22">
        <v>0</v>
      </c>
      <c r="AX79" s="22">
        <v>0</v>
      </c>
      <c r="AY79" s="22">
        <v>142875.76999999999</v>
      </c>
      <c r="AZ79" s="22">
        <v>0</v>
      </c>
      <c r="BA79" s="22">
        <v>0</v>
      </c>
      <c r="BB79" s="22">
        <f t="shared" si="29"/>
        <v>142875.76999999999</v>
      </c>
      <c r="BC79" s="22">
        <v>0</v>
      </c>
      <c r="BD79" s="22">
        <v>0</v>
      </c>
      <c r="BE79" s="22">
        <v>0</v>
      </c>
      <c r="BF79" s="22">
        <v>142875.76999999999</v>
      </c>
      <c r="BG79" s="22">
        <v>0</v>
      </c>
      <c r="BH79" s="22">
        <f t="shared" si="30"/>
        <v>142875.76999999999</v>
      </c>
      <c r="BI79" s="22">
        <v>0</v>
      </c>
      <c r="BJ79" s="22">
        <v>0</v>
      </c>
      <c r="BK79" s="22">
        <v>0</v>
      </c>
      <c r="BL79" s="22">
        <v>142875.76999999999</v>
      </c>
      <c r="BM79" s="22">
        <v>0</v>
      </c>
      <c r="BN79" s="22">
        <f t="shared" si="31"/>
        <v>142875.76999999999</v>
      </c>
      <c r="BO79" s="22">
        <f t="shared" si="32"/>
        <v>428627.30999999994</v>
      </c>
      <c r="BP79" s="22">
        <f t="shared" si="21"/>
        <v>1279861.1700000002</v>
      </c>
      <c r="BQ79" s="22">
        <v>0</v>
      </c>
      <c r="BR79" s="22">
        <v>0</v>
      </c>
      <c r="BS79" s="22">
        <v>0</v>
      </c>
      <c r="BT79" s="22">
        <v>35718.94</v>
      </c>
      <c r="BU79" s="22">
        <v>0</v>
      </c>
      <c r="BV79" s="30">
        <f t="shared" si="33"/>
        <v>35718.94</v>
      </c>
      <c r="BW79" s="22">
        <v>0</v>
      </c>
      <c r="BX79" s="22">
        <v>0</v>
      </c>
      <c r="BY79" s="22">
        <v>0</v>
      </c>
      <c r="BZ79" s="22">
        <v>24384.04</v>
      </c>
      <c r="CA79" s="22">
        <v>0</v>
      </c>
      <c r="CB79" s="22">
        <f t="shared" si="34"/>
        <v>24384.04</v>
      </c>
      <c r="CC79" s="22">
        <v>0</v>
      </c>
      <c r="CD79" s="22">
        <v>0</v>
      </c>
      <c r="CE79" s="22">
        <v>0</v>
      </c>
      <c r="CF79" s="22">
        <v>18573.849999999999</v>
      </c>
      <c r="CG79" s="22">
        <v>0</v>
      </c>
      <c r="CH79" s="30">
        <f t="shared" si="35"/>
        <v>18573.849999999999</v>
      </c>
      <c r="CI79" s="30">
        <f t="shared" si="36"/>
        <v>78676.83</v>
      </c>
      <c r="CJ79" s="30">
        <f t="shared" si="37"/>
        <v>1358538</v>
      </c>
    </row>
    <row r="80" spans="1:88" s="4" customFormat="1">
      <c r="A80" s="27" t="s">
        <v>178</v>
      </c>
      <c r="B80" s="27" t="s">
        <v>179</v>
      </c>
      <c r="C80" s="28"/>
      <c r="D80" s="28">
        <v>0</v>
      </c>
      <c r="E80" s="28">
        <v>0</v>
      </c>
      <c r="F80" s="28">
        <v>0</v>
      </c>
      <c r="G80" s="28">
        <v>323516.84999999998</v>
      </c>
      <c r="H80" s="28"/>
      <c r="I80" s="28">
        <f t="shared" si="22"/>
        <v>323516.84999999998</v>
      </c>
      <c r="J80" s="28">
        <v>0</v>
      </c>
      <c r="K80" s="28">
        <v>0</v>
      </c>
      <c r="L80" s="28">
        <v>0</v>
      </c>
      <c r="M80" s="28">
        <v>318550.51</v>
      </c>
      <c r="N80" s="28">
        <v>0</v>
      </c>
      <c r="O80" s="29"/>
      <c r="P80" s="28">
        <f t="shared" si="23"/>
        <v>318550.51</v>
      </c>
      <c r="Q80" s="28">
        <v>0</v>
      </c>
      <c r="R80" s="28">
        <v>0</v>
      </c>
      <c r="S80" s="28">
        <v>0</v>
      </c>
      <c r="T80" s="28">
        <v>319513.78999999998</v>
      </c>
      <c r="U80" s="28">
        <v>0</v>
      </c>
      <c r="V80" s="31"/>
      <c r="W80" s="28">
        <f t="shared" si="24"/>
        <v>319513.78999999998</v>
      </c>
      <c r="X80" s="28">
        <f t="shared" si="25"/>
        <v>961581.14999999991</v>
      </c>
      <c r="Y80" s="22">
        <v>0</v>
      </c>
      <c r="Z80" s="22">
        <v>0</v>
      </c>
      <c r="AA80" s="22">
        <v>0</v>
      </c>
      <c r="AB80" s="22">
        <v>325093.51</v>
      </c>
      <c r="AC80" s="22">
        <v>0</v>
      </c>
      <c r="AD80" s="22">
        <v>5040</v>
      </c>
      <c r="AE80" s="30">
        <f t="shared" si="19"/>
        <v>330133.51</v>
      </c>
      <c r="AF80" s="30">
        <f t="shared" si="20"/>
        <v>1291714.6599999999</v>
      </c>
      <c r="AG80" s="22">
        <v>0</v>
      </c>
      <c r="AH80" s="22">
        <v>0</v>
      </c>
      <c r="AI80" s="22">
        <v>0</v>
      </c>
      <c r="AJ80" s="22">
        <v>325093.51</v>
      </c>
      <c r="AK80" s="22">
        <v>0</v>
      </c>
      <c r="AL80" s="22">
        <v>20720</v>
      </c>
      <c r="AM80" s="30">
        <f t="shared" si="26"/>
        <v>345813.51</v>
      </c>
      <c r="AN80" s="22">
        <v>0</v>
      </c>
      <c r="AO80" s="22">
        <v>0</v>
      </c>
      <c r="AP80" s="22">
        <v>0</v>
      </c>
      <c r="AQ80" s="22">
        <v>325093.51</v>
      </c>
      <c r="AR80" s="22">
        <v>0</v>
      </c>
      <c r="AS80" s="22">
        <v>0</v>
      </c>
      <c r="AT80" s="30">
        <f t="shared" si="27"/>
        <v>325093.51</v>
      </c>
      <c r="AU80" s="30">
        <f t="shared" si="28"/>
        <v>1001040.53</v>
      </c>
      <c r="AV80" s="22">
        <v>0</v>
      </c>
      <c r="AW80" s="22">
        <v>0</v>
      </c>
      <c r="AX80" s="22">
        <v>0</v>
      </c>
      <c r="AY80" s="22">
        <v>325093.51</v>
      </c>
      <c r="AZ80" s="22">
        <v>0</v>
      </c>
      <c r="BA80" s="22">
        <v>0</v>
      </c>
      <c r="BB80" s="22">
        <f t="shared" si="29"/>
        <v>325093.51</v>
      </c>
      <c r="BC80" s="22">
        <v>0</v>
      </c>
      <c r="BD80" s="22">
        <v>0</v>
      </c>
      <c r="BE80" s="22">
        <v>0</v>
      </c>
      <c r="BF80" s="22">
        <v>325093.51</v>
      </c>
      <c r="BG80" s="22">
        <v>0</v>
      </c>
      <c r="BH80" s="22">
        <f t="shared" si="30"/>
        <v>325093.51</v>
      </c>
      <c r="BI80" s="22">
        <v>0</v>
      </c>
      <c r="BJ80" s="22">
        <v>0</v>
      </c>
      <c r="BK80" s="22">
        <v>0</v>
      </c>
      <c r="BL80" s="22">
        <v>325093.51</v>
      </c>
      <c r="BM80" s="22">
        <v>0</v>
      </c>
      <c r="BN80" s="22">
        <f t="shared" si="31"/>
        <v>325093.51</v>
      </c>
      <c r="BO80" s="22">
        <f t="shared" si="32"/>
        <v>975280.53</v>
      </c>
      <c r="BP80" s="22">
        <f t="shared" si="21"/>
        <v>2937902.21</v>
      </c>
      <c r="BQ80" s="22">
        <v>0</v>
      </c>
      <c r="BR80" s="22">
        <v>0</v>
      </c>
      <c r="BS80" s="22">
        <v>0</v>
      </c>
      <c r="BT80" s="22">
        <v>81273.38</v>
      </c>
      <c r="BU80" s="22">
        <v>0</v>
      </c>
      <c r="BV80" s="30">
        <f t="shared" si="33"/>
        <v>81273.38</v>
      </c>
      <c r="BW80" s="22">
        <v>0</v>
      </c>
      <c r="BX80" s="22">
        <v>0</v>
      </c>
      <c r="BY80" s="22">
        <v>0</v>
      </c>
      <c r="BZ80" s="22">
        <v>55482.399999999994</v>
      </c>
      <c r="CA80" s="22">
        <v>0</v>
      </c>
      <c r="CB80" s="22">
        <f t="shared" si="34"/>
        <v>55482.399999999994</v>
      </c>
      <c r="CC80" s="22">
        <v>0</v>
      </c>
      <c r="CD80" s="22">
        <v>0</v>
      </c>
      <c r="CE80" s="22">
        <v>0</v>
      </c>
      <c r="CF80" s="22">
        <v>42262.16</v>
      </c>
      <c r="CG80" s="22">
        <v>0</v>
      </c>
      <c r="CH80" s="30">
        <f t="shared" si="35"/>
        <v>42262.16</v>
      </c>
      <c r="CI80" s="30">
        <f t="shared" si="36"/>
        <v>179017.94</v>
      </c>
      <c r="CJ80" s="30">
        <f t="shared" si="37"/>
        <v>3116920.15</v>
      </c>
    </row>
    <row r="81" spans="1:90">
      <c r="A81" s="27" t="s">
        <v>180</v>
      </c>
      <c r="B81" s="27" t="s">
        <v>181</v>
      </c>
      <c r="C81" s="28"/>
      <c r="D81" s="28">
        <v>0</v>
      </c>
      <c r="E81" s="28">
        <v>0</v>
      </c>
      <c r="F81" s="28">
        <v>0</v>
      </c>
      <c r="G81" s="28">
        <v>186758.21</v>
      </c>
      <c r="H81" s="28"/>
      <c r="I81" s="28">
        <f t="shared" si="22"/>
        <v>186758.21</v>
      </c>
      <c r="J81" s="28">
        <v>0</v>
      </c>
      <c r="K81" s="28">
        <v>0</v>
      </c>
      <c r="L81" s="28">
        <v>0</v>
      </c>
      <c r="M81" s="28">
        <v>183891.27</v>
      </c>
      <c r="N81" s="28">
        <v>0</v>
      </c>
      <c r="O81" s="29"/>
      <c r="P81" s="28">
        <f t="shared" si="23"/>
        <v>183891.27</v>
      </c>
      <c r="Q81" s="28">
        <v>0</v>
      </c>
      <c r="R81" s="28">
        <v>0</v>
      </c>
      <c r="S81" s="28">
        <v>0</v>
      </c>
      <c r="T81" s="28">
        <v>184447.35</v>
      </c>
      <c r="U81" s="28">
        <v>0</v>
      </c>
      <c r="V81" s="31"/>
      <c r="W81" s="28">
        <f t="shared" si="24"/>
        <v>184447.35</v>
      </c>
      <c r="X81" s="28">
        <f t="shared" si="25"/>
        <v>555096.82999999996</v>
      </c>
      <c r="Y81" s="22">
        <v>0</v>
      </c>
      <c r="Z81" s="22">
        <v>0</v>
      </c>
      <c r="AA81" s="22">
        <v>0</v>
      </c>
      <c r="AB81" s="22">
        <v>187668.38</v>
      </c>
      <c r="AC81" s="22">
        <v>0</v>
      </c>
      <c r="AD81" s="22">
        <v>0</v>
      </c>
      <c r="AE81" s="30">
        <f t="shared" si="19"/>
        <v>187668.38</v>
      </c>
      <c r="AF81" s="30">
        <f t="shared" si="20"/>
        <v>742765.21</v>
      </c>
      <c r="AG81" s="22">
        <v>0</v>
      </c>
      <c r="AH81" s="22">
        <v>0</v>
      </c>
      <c r="AI81" s="22">
        <v>0</v>
      </c>
      <c r="AJ81" s="22">
        <v>187668.38</v>
      </c>
      <c r="AK81" s="22">
        <v>0</v>
      </c>
      <c r="AL81" s="22">
        <v>0</v>
      </c>
      <c r="AM81" s="30">
        <f t="shared" si="26"/>
        <v>187668.38</v>
      </c>
      <c r="AN81" s="22">
        <v>0</v>
      </c>
      <c r="AO81" s="22">
        <v>0</v>
      </c>
      <c r="AP81" s="22">
        <v>0</v>
      </c>
      <c r="AQ81" s="22">
        <v>216686.58000000002</v>
      </c>
      <c r="AR81" s="22">
        <v>0</v>
      </c>
      <c r="AS81" s="22">
        <v>0</v>
      </c>
      <c r="AT81" s="30">
        <f t="shared" si="27"/>
        <v>216686.58000000002</v>
      </c>
      <c r="AU81" s="30">
        <f t="shared" si="28"/>
        <v>592023.34000000008</v>
      </c>
      <c r="AV81" s="22">
        <v>0</v>
      </c>
      <c r="AW81" s="22">
        <v>0</v>
      </c>
      <c r="AX81" s="22">
        <v>0</v>
      </c>
      <c r="AY81" s="22">
        <f>187668.38+33702.45</f>
        <v>221370.83000000002</v>
      </c>
      <c r="AZ81" s="22">
        <v>0</v>
      </c>
      <c r="BA81" s="22">
        <v>0</v>
      </c>
      <c r="BB81" s="22">
        <f t="shared" si="29"/>
        <v>221370.83000000002</v>
      </c>
      <c r="BC81" s="22">
        <v>0</v>
      </c>
      <c r="BD81" s="22">
        <v>0</v>
      </c>
      <c r="BE81" s="22">
        <v>0</v>
      </c>
      <c r="BF81" s="22">
        <f>187668.38+34448.28</f>
        <v>222116.66</v>
      </c>
      <c r="BG81" s="22">
        <v>0</v>
      </c>
      <c r="BH81" s="22">
        <f t="shared" si="30"/>
        <v>222116.66</v>
      </c>
      <c r="BI81" s="22">
        <v>0</v>
      </c>
      <c r="BJ81" s="22">
        <v>0</v>
      </c>
      <c r="BK81" s="22">
        <v>0</v>
      </c>
      <c r="BL81" s="22">
        <f>187668.38+35076.66</f>
        <v>222745.04</v>
      </c>
      <c r="BM81" s="22">
        <v>0</v>
      </c>
      <c r="BN81" s="22">
        <f t="shared" si="31"/>
        <v>222745.04</v>
      </c>
      <c r="BO81" s="22">
        <f t="shared" si="32"/>
        <v>666232.53</v>
      </c>
      <c r="BP81" s="22">
        <f t="shared" si="21"/>
        <v>1813352.7</v>
      </c>
      <c r="BQ81" s="22">
        <v>0</v>
      </c>
      <c r="BR81" s="22">
        <v>0</v>
      </c>
      <c r="BS81" s="22">
        <v>0</v>
      </c>
      <c r="BT81" s="22">
        <v>46917.1</v>
      </c>
      <c r="BU81" s="22">
        <v>0</v>
      </c>
      <c r="BV81" s="30">
        <f t="shared" si="33"/>
        <v>46917.1</v>
      </c>
      <c r="BW81" s="22">
        <v>0</v>
      </c>
      <c r="BX81" s="22">
        <v>0</v>
      </c>
      <c r="BY81" s="22">
        <v>0</v>
      </c>
      <c r="BZ81" s="22">
        <v>32028.6</v>
      </c>
      <c r="CA81" s="22">
        <v>0</v>
      </c>
      <c r="CB81" s="22">
        <f t="shared" si="34"/>
        <v>32028.6</v>
      </c>
      <c r="CC81" s="22">
        <v>0</v>
      </c>
      <c r="CD81" s="22">
        <v>0</v>
      </c>
      <c r="CE81" s="22">
        <v>0</v>
      </c>
      <c r="CF81" s="22">
        <v>24396.89</v>
      </c>
      <c r="CG81" s="22">
        <v>0</v>
      </c>
      <c r="CH81" s="30">
        <f t="shared" si="35"/>
        <v>24396.89</v>
      </c>
      <c r="CI81" s="30">
        <f t="shared" si="36"/>
        <v>103342.59</v>
      </c>
      <c r="CJ81" s="30">
        <f t="shared" si="37"/>
        <v>1916695.29</v>
      </c>
    </row>
    <row r="82" spans="1:90">
      <c r="A82" s="27" t="s">
        <v>182</v>
      </c>
      <c r="B82" s="27" t="s">
        <v>183</v>
      </c>
      <c r="C82" s="28"/>
      <c r="D82" s="28">
        <v>0</v>
      </c>
      <c r="E82" s="28">
        <v>0</v>
      </c>
      <c r="F82" s="28">
        <v>0</v>
      </c>
      <c r="G82" s="28">
        <v>77727.08</v>
      </c>
      <c r="H82" s="28"/>
      <c r="I82" s="28">
        <f t="shared" si="22"/>
        <v>77727.08</v>
      </c>
      <c r="J82" s="28">
        <v>0</v>
      </c>
      <c r="K82" s="28">
        <v>0</v>
      </c>
      <c r="L82" s="28">
        <v>0</v>
      </c>
      <c r="M82" s="28">
        <v>76533.88</v>
      </c>
      <c r="N82" s="28">
        <v>0</v>
      </c>
      <c r="O82" s="29"/>
      <c r="P82" s="28">
        <f t="shared" si="23"/>
        <v>76533.88</v>
      </c>
      <c r="Q82" s="28">
        <v>0</v>
      </c>
      <c r="R82" s="28">
        <v>0</v>
      </c>
      <c r="S82" s="28">
        <v>0</v>
      </c>
      <c r="T82" s="28">
        <v>14857.82</v>
      </c>
      <c r="U82" s="28">
        <v>0</v>
      </c>
      <c r="V82" s="31"/>
      <c r="W82" s="28">
        <f t="shared" si="24"/>
        <v>14857.82</v>
      </c>
      <c r="X82" s="28">
        <f t="shared" si="25"/>
        <v>169118.78000000003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30">
        <f t="shared" si="19"/>
        <v>0</v>
      </c>
      <c r="AF82" s="30">
        <f t="shared" si="20"/>
        <v>169118.78000000003</v>
      </c>
      <c r="AG82" s="22">
        <v>0</v>
      </c>
      <c r="AH82" s="22">
        <v>0</v>
      </c>
      <c r="AI82" s="22">
        <v>0</v>
      </c>
      <c r="AJ82" s="22">
        <v>35273.53</v>
      </c>
      <c r="AK82" s="22">
        <v>0</v>
      </c>
      <c r="AL82" s="22">
        <v>0</v>
      </c>
      <c r="AM82" s="30">
        <f t="shared" si="26"/>
        <v>35273.53</v>
      </c>
      <c r="AN82" s="22">
        <v>0</v>
      </c>
      <c r="AO82" s="22">
        <v>0</v>
      </c>
      <c r="AP82" s="22">
        <v>0</v>
      </c>
      <c r="AQ82" s="22">
        <v>78105.88</v>
      </c>
      <c r="AR82" s="22">
        <v>0</v>
      </c>
      <c r="AS82" s="22">
        <v>0</v>
      </c>
      <c r="AT82" s="30">
        <f t="shared" si="27"/>
        <v>78105.88</v>
      </c>
      <c r="AU82" s="30">
        <f t="shared" si="28"/>
        <v>113379.41</v>
      </c>
      <c r="AV82" s="22">
        <v>0</v>
      </c>
      <c r="AW82" s="22">
        <v>0</v>
      </c>
      <c r="AX82" s="22">
        <v>0</v>
      </c>
      <c r="AY82" s="22">
        <v>78105.88</v>
      </c>
      <c r="AZ82" s="22">
        <v>0</v>
      </c>
      <c r="BA82" s="22">
        <v>0</v>
      </c>
      <c r="BB82" s="22">
        <f t="shared" si="29"/>
        <v>78105.88</v>
      </c>
      <c r="BC82" s="22">
        <v>0</v>
      </c>
      <c r="BD82" s="22">
        <v>0</v>
      </c>
      <c r="BE82" s="22">
        <v>0</v>
      </c>
      <c r="BF82" s="22">
        <v>78105.88</v>
      </c>
      <c r="BG82" s="22">
        <v>0</v>
      </c>
      <c r="BH82" s="22">
        <f t="shared" si="30"/>
        <v>78105.88</v>
      </c>
      <c r="BI82" s="22">
        <v>0</v>
      </c>
      <c r="BJ82" s="22">
        <v>0</v>
      </c>
      <c r="BK82" s="22">
        <v>0</v>
      </c>
      <c r="BL82" s="22">
        <v>78105.88</v>
      </c>
      <c r="BM82" s="22">
        <v>0</v>
      </c>
      <c r="BN82" s="22">
        <f t="shared" si="31"/>
        <v>78105.88</v>
      </c>
      <c r="BO82" s="22">
        <f t="shared" si="32"/>
        <v>234317.64</v>
      </c>
      <c r="BP82" s="22">
        <f t="shared" si="21"/>
        <v>516815.83000000007</v>
      </c>
      <c r="BQ82" s="22">
        <v>0</v>
      </c>
      <c r="BR82" s="22">
        <v>0</v>
      </c>
      <c r="BS82" s="22">
        <v>0</v>
      </c>
      <c r="BT82" s="22">
        <v>19526.47</v>
      </c>
      <c r="BU82" s="22">
        <v>0</v>
      </c>
      <c r="BV82" s="30">
        <f t="shared" si="33"/>
        <v>19526.47</v>
      </c>
      <c r="BW82" s="22">
        <v>0</v>
      </c>
      <c r="BX82" s="22">
        <v>0</v>
      </c>
      <c r="BY82" s="22">
        <v>0</v>
      </c>
      <c r="BZ82" s="22">
        <v>13330.019999999999</v>
      </c>
      <c r="CA82" s="22">
        <v>0</v>
      </c>
      <c r="CB82" s="22">
        <f t="shared" si="34"/>
        <v>13330.019999999999</v>
      </c>
      <c r="CC82" s="22">
        <v>0</v>
      </c>
      <c r="CD82" s="22">
        <v>0</v>
      </c>
      <c r="CE82" s="22">
        <v>0</v>
      </c>
      <c r="CF82" s="22">
        <v>10153.76</v>
      </c>
      <c r="CG82" s="22">
        <v>0</v>
      </c>
      <c r="CH82" s="30">
        <f t="shared" si="35"/>
        <v>10153.76</v>
      </c>
      <c r="CI82" s="30">
        <f t="shared" si="36"/>
        <v>43010.25</v>
      </c>
      <c r="CJ82" s="30">
        <f t="shared" si="37"/>
        <v>559826.08000000007</v>
      </c>
    </row>
    <row r="83" spans="1:90">
      <c r="A83" s="27" t="s">
        <v>184</v>
      </c>
      <c r="B83" s="27" t="s">
        <v>185</v>
      </c>
      <c r="C83" s="28"/>
      <c r="D83" s="28">
        <v>0</v>
      </c>
      <c r="E83" s="28">
        <v>0</v>
      </c>
      <c r="F83" s="28">
        <v>0</v>
      </c>
      <c r="G83" s="28">
        <v>143565.17000000001</v>
      </c>
      <c r="H83" s="28"/>
      <c r="I83" s="28">
        <f t="shared" si="22"/>
        <v>143565.17000000001</v>
      </c>
      <c r="J83" s="28">
        <v>0</v>
      </c>
      <c r="K83" s="28">
        <v>0</v>
      </c>
      <c r="L83" s="28">
        <v>0</v>
      </c>
      <c r="M83" s="28">
        <v>141361.29</v>
      </c>
      <c r="N83" s="28">
        <v>0</v>
      </c>
      <c r="O83" s="29"/>
      <c r="P83" s="28">
        <f t="shared" si="23"/>
        <v>141361.29</v>
      </c>
      <c r="Q83" s="28">
        <v>0</v>
      </c>
      <c r="R83" s="28">
        <v>0</v>
      </c>
      <c r="S83" s="28">
        <v>0</v>
      </c>
      <c r="T83" s="28">
        <v>141788.76</v>
      </c>
      <c r="U83" s="28">
        <v>0</v>
      </c>
      <c r="V83" s="31"/>
      <c r="W83" s="28">
        <f t="shared" si="24"/>
        <v>141788.76</v>
      </c>
      <c r="X83" s="28">
        <f t="shared" si="25"/>
        <v>426715.22000000003</v>
      </c>
      <c r="Y83" s="22">
        <v>0</v>
      </c>
      <c r="Z83" s="22">
        <v>0</v>
      </c>
      <c r="AA83" s="22">
        <v>0</v>
      </c>
      <c r="AB83" s="22">
        <v>144264.84</v>
      </c>
      <c r="AC83" s="22">
        <v>0</v>
      </c>
      <c r="AD83" s="22">
        <v>0</v>
      </c>
      <c r="AE83" s="30">
        <f t="shared" si="19"/>
        <v>144264.84</v>
      </c>
      <c r="AF83" s="30">
        <f t="shared" si="20"/>
        <v>570980.06000000006</v>
      </c>
      <c r="AG83" s="22">
        <v>0</v>
      </c>
      <c r="AH83" s="22">
        <v>0</v>
      </c>
      <c r="AI83" s="22">
        <v>0</v>
      </c>
      <c r="AJ83" s="22">
        <v>144264.84</v>
      </c>
      <c r="AK83" s="22">
        <v>0</v>
      </c>
      <c r="AL83" s="22">
        <v>0</v>
      </c>
      <c r="AM83" s="30">
        <f t="shared" si="26"/>
        <v>144264.84</v>
      </c>
      <c r="AN83" s="22">
        <v>0</v>
      </c>
      <c r="AO83" s="22">
        <v>0</v>
      </c>
      <c r="AP83" s="22">
        <v>0</v>
      </c>
      <c r="AQ83" s="22">
        <v>181399.41</v>
      </c>
      <c r="AR83" s="22">
        <v>0</v>
      </c>
      <c r="AS83" s="22">
        <v>0</v>
      </c>
      <c r="AT83" s="30">
        <f t="shared" si="27"/>
        <v>181399.41</v>
      </c>
      <c r="AU83" s="30">
        <f t="shared" si="28"/>
        <v>469929.08999999997</v>
      </c>
      <c r="AV83" s="22">
        <v>0</v>
      </c>
      <c r="AW83" s="22">
        <v>0</v>
      </c>
      <c r="AX83" s="22">
        <v>0</v>
      </c>
      <c r="AY83" s="22">
        <f>144264.84+36477.68</f>
        <v>180742.52</v>
      </c>
      <c r="AZ83" s="22">
        <v>0</v>
      </c>
      <c r="BA83" s="22">
        <v>0</v>
      </c>
      <c r="BB83" s="22">
        <f t="shared" si="29"/>
        <v>180742.52</v>
      </c>
      <c r="BC83" s="22">
        <v>0</v>
      </c>
      <c r="BD83" s="22">
        <v>0</v>
      </c>
      <c r="BE83" s="22">
        <v>0</v>
      </c>
      <c r="BF83" s="22">
        <f>144264.84+30000</f>
        <v>174264.84</v>
      </c>
      <c r="BG83" s="22">
        <v>0</v>
      </c>
      <c r="BH83" s="22">
        <f t="shared" si="30"/>
        <v>174264.84</v>
      </c>
      <c r="BI83" s="22">
        <v>0</v>
      </c>
      <c r="BJ83" s="22">
        <v>0</v>
      </c>
      <c r="BK83" s="22">
        <v>0</v>
      </c>
      <c r="BL83" s="22">
        <f>144264.84+35091.14</f>
        <v>179355.97999999998</v>
      </c>
      <c r="BM83" s="22">
        <v>0</v>
      </c>
      <c r="BN83" s="22">
        <f t="shared" si="31"/>
        <v>179355.97999999998</v>
      </c>
      <c r="BO83" s="22">
        <f t="shared" si="32"/>
        <v>534363.34</v>
      </c>
      <c r="BP83" s="22">
        <f t="shared" si="21"/>
        <v>1431007.6500000001</v>
      </c>
      <c r="BQ83" s="22">
        <v>0</v>
      </c>
      <c r="BR83" s="22">
        <v>0</v>
      </c>
      <c r="BS83" s="22">
        <v>0</v>
      </c>
      <c r="BT83" s="22">
        <v>36066.21</v>
      </c>
      <c r="BU83" s="22">
        <v>0</v>
      </c>
      <c r="BV83" s="30">
        <f t="shared" si="33"/>
        <v>36066.21</v>
      </c>
      <c r="BW83" s="22">
        <v>0</v>
      </c>
      <c r="BX83" s="22">
        <v>0</v>
      </c>
      <c r="BY83" s="22">
        <v>0</v>
      </c>
      <c r="BZ83" s="22">
        <v>24621.100000000006</v>
      </c>
      <c r="CA83" s="22">
        <v>0</v>
      </c>
      <c r="CB83" s="22">
        <f t="shared" si="34"/>
        <v>24621.100000000006</v>
      </c>
      <c r="CC83" s="22">
        <v>0</v>
      </c>
      <c r="CD83" s="22">
        <v>0</v>
      </c>
      <c r="CE83" s="22">
        <v>0</v>
      </c>
      <c r="CF83" s="22">
        <v>18754.43</v>
      </c>
      <c r="CG83" s="22">
        <v>0</v>
      </c>
      <c r="CH83" s="30">
        <f t="shared" si="35"/>
        <v>18754.43</v>
      </c>
      <c r="CI83" s="30">
        <f t="shared" si="36"/>
        <v>79441.740000000005</v>
      </c>
      <c r="CJ83" s="30">
        <f t="shared" si="37"/>
        <v>1510449.39</v>
      </c>
    </row>
    <row r="84" spans="1:90">
      <c r="A84" s="27" t="s">
        <v>186</v>
      </c>
      <c r="B84" s="27" t="s">
        <v>187</v>
      </c>
      <c r="C84" s="28"/>
      <c r="D84" s="28">
        <v>0</v>
      </c>
      <c r="E84" s="28">
        <v>0</v>
      </c>
      <c r="F84" s="28">
        <v>0</v>
      </c>
      <c r="G84" s="28">
        <v>0</v>
      </c>
      <c r="H84" s="28"/>
      <c r="I84" s="28">
        <f t="shared" si="22"/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9"/>
      <c r="P84" s="28">
        <f t="shared" si="23"/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31"/>
      <c r="W84" s="28">
        <f t="shared" si="24"/>
        <v>0</v>
      </c>
      <c r="X84" s="28">
        <f t="shared" si="25"/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30">
        <f t="shared" si="19"/>
        <v>0</v>
      </c>
      <c r="AF84" s="30">
        <f t="shared" si="20"/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30">
        <f t="shared" si="26"/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30">
        <f t="shared" si="27"/>
        <v>0</v>
      </c>
      <c r="AU84" s="30">
        <f t="shared" si="28"/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f t="shared" si="29"/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f t="shared" si="30"/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f t="shared" si="31"/>
        <v>0</v>
      </c>
      <c r="BO84" s="22">
        <f t="shared" si="32"/>
        <v>0</v>
      </c>
      <c r="BP84" s="22">
        <f t="shared" si="21"/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30">
        <f t="shared" si="33"/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f t="shared" si="34"/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30">
        <f t="shared" si="35"/>
        <v>0</v>
      </c>
      <c r="CI84" s="30">
        <f t="shared" si="36"/>
        <v>0</v>
      </c>
      <c r="CJ84" s="30">
        <f t="shared" si="37"/>
        <v>0</v>
      </c>
    </row>
    <row r="85" spans="1:90">
      <c r="A85" s="27" t="s">
        <v>188</v>
      </c>
      <c r="B85" s="27" t="s">
        <v>189</v>
      </c>
      <c r="C85" s="28"/>
      <c r="D85" s="28">
        <v>0</v>
      </c>
      <c r="E85" s="28">
        <v>0</v>
      </c>
      <c r="F85" s="28">
        <v>0</v>
      </c>
      <c r="G85" s="28">
        <v>0</v>
      </c>
      <c r="H85" s="28"/>
      <c r="I85" s="28">
        <f t="shared" si="22"/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9"/>
      <c r="P85" s="28">
        <f t="shared" si="23"/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31"/>
      <c r="W85" s="28">
        <f t="shared" si="24"/>
        <v>0</v>
      </c>
      <c r="X85" s="28">
        <f t="shared" si="25"/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30">
        <f t="shared" si="19"/>
        <v>0</v>
      </c>
      <c r="AF85" s="30">
        <f t="shared" si="20"/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30">
        <f t="shared" si="26"/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30">
        <f t="shared" si="27"/>
        <v>0</v>
      </c>
      <c r="AU85" s="30">
        <f t="shared" si="28"/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f t="shared" si="29"/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f t="shared" si="30"/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f t="shared" si="31"/>
        <v>0</v>
      </c>
      <c r="BO85" s="22">
        <f t="shared" si="32"/>
        <v>0</v>
      </c>
      <c r="BP85" s="22">
        <f t="shared" si="21"/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30">
        <f t="shared" si="33"/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f t="shared" si="34"/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30">
        <f t="shared" si="35"/>
        <v>0</v>
      </c>
      <c r="CI85" s="30">
        <f t="shared" si="36"/>
        <v>0</v>
      </c>
      <c r="CJ85" s="30">
        <f t="shared" si="37"/>
        <v>0</v>
      </c>
    </row>
    <row r="86" spans="1:90">
      <c r="A86" s="27" t="s">
        <v>190</v>
      </c>
      <c r="B86" s="27" t="s">
        <v>191</v>
      </c>
      <c r="C86" s="28"/>
      <c r="D86" s="28">
        <v>0</v>
      </c>
      <c r="E86" s="28">
        <v>0</v>
      </c>
      <c r="F86" s="28">
        <v>0</v>
      </c>
      <c r="G86" s="28">
        <v>0</v>
      </c>
      <c r="H86" s="28"/>
      <c r="I86" s="28">
        <f t="shared" si="22"/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9"/>
      <c r="P86" s="28">
        <f t="shared" si="23"/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31"/>
      <c r="W86" s="28">
        <f t="shared" si="24"/>
        <v>0</v>
      </c>
      <c r="X86" s="28">
        <f t="shared" si="25"/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30">
        <f t="shared" si="19"/>
        <v>0</v>
      </c>
      <c r="AF86" s="30">
        <f t="shared" si="20"/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30">
        <f t="shared" si="26"/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30">
        <f t="shared" si="27"/>
        <v>0</v>
      </c>
      <c r="AU86" s="30">
        <f t="shared" si="28"/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f t="shared" si="29"/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f t="shared" si="30"/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f t="shared" si="31"/>
        <v>0</v>
      </c>
      <c r="BO86" s="22">
        <f t="shared" si="32"/>
        <v>0</v>
      </c>
      <c r="BP86" s="22">
        <f t="shared" si="21"/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30">
        <f t="shared" si="33"/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f t="shared" si="34"/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30">
        <f t="shared" si="35"/>
        <v>0</v>
      </c>
      <c r="CI86" s="30">
        <f t="shared" si="36"/>
        <v>0</v>
      </c>
      <c r="CJ86" s="30">
        <f t="shared" si="37"/>
        <v>0</v>
      </c>
    </row>
    <row r="87" spans="1:90">
      <c r="A87" s="27" t="s">
        <v>192</v>
      </c>
      <c r="B87" s="27" t="s">
        <v>193</v>
      </c>
      <c r="C87" s="28"/>
      <c r="D87" s="28">
        <v>0</v>
      </c>
      <c r="E87" s="28">
        <v>0</v>
      </c>
      <c r="F87" s="28">
        <v>0</v>
      </c>
      <c r="G87" s="28">
        <v>17698.349999999999</v>
      </c>
      <c r="H87" s="28"/>
      <c r="I87" s="28">
        <f t="shared" si="22"/>
        <v>17698.349999999999</v>
      </c>
      <c r="J87" s="28">
        <v>0</v>
      </c>
      <c r="K87" s="28">
        <v>0</v>
      </c>
      <c r="L87" s="28">
        <v>0</v>
      </c>
      <c r="M87" s="28">
        <v>17426.66</v>
      </c>
      <c r="N87" s="28">
        <v>0</v>
      </c>
      <c r="O87" s="29"/>
      <c r="P87" s="28">
        <f t="shared" si="23"/>
        <v>17426.66</v>
      </c>
      <c r="Q87" s="28">
        <v>0</v>
      </c>
      <c r="R87" s="28">
        <v>0</v>
      </c>
      <c r="S87" s="28">
        <v>0</v>
      </c>
      <c r="T87" s="28">
        <v>17479.36</v>
      </c>
      <c r="U87" s="28">
        <v>0</v>
      </c>
      <c r="V87" s="31"/>
      <c r="W87" s="28">
        <f t="shared" si="24"/>
        <v>17479.36</v>
      </c>
      <c r="X87" s="28">
        <f t="shared" si="25"/>
        <v>52604.369999999995</v>
      </c>
      <c r="Y87" s="22">
        <v>0</v>
      </c>
      <c r="Z87" s="22">
        <v>0</v>
      </c>
      <c r="AA87" s="22">
        <v>0</v>
      </c>
      <c r="AB87" s="22">
        <v>17784.599999999999</v>
      </c>
      <c r="AC87" s="22">
        <v>0</v>
      </c>
      <c r="AD87" s="22">
        <v>0</v>
      </c>
      <c r="AE87" s="30">
        <f t="shared" si="19"/>
        <v>17784.599999999999</v>
      </c>
      <c r="AF87" s="30">
        <f t="shared" si="20"/>
        <v>70388.97</v>
      </c>
      <c r="AG87" s="22">
        <v>0</v>
      </c>
      <c r="AH87" s="22">
        <v>0</v>
      </c>
      <c r="AI87" s="22">
        <v>0</v>
      </c>
      <c r="AJ87" s="22">
        <v>17784.599999999999</v>
      </c>
      <c r="AK87" s="22">
        <v>0</v>
      </c>
      <c r="AL87" s="22">
        <v>0</v>
      </c>
      <c r="AM87" s="30">
        <f t="shared" si="26"/>
        <v>17784.599999999999</v>
      </c>
      <c r="AN87" s="22">
        <v>0</v>
      </c>
      <c r="AO87" s="22">
        <v>0</v>
      </c>
      <c r="AP87" s="22">
        <v>0</v>
      </c>
      <c r="AQ87" s="22">
        <v>17784.599999999999</v>
      </c>
      <c r="AR87" s="22">
        <v>0</v>
      </c>
      <c r="AS87" s="22">
        <v>0</v>
      </c>
      <c r="AT87" s="30">
        <f t="shared" si="27"/>
        <v>17784.599999999999</v>
      </c>
      <c r="AU87" s="30">
        <f t="shared" si="28"/>
        <v>53353.799999999996</v>
      </c>
      <c r="AV87" s="22">
        <v>0</v>
      </c>
      <c r="AW87" s="22">
        <v>0</v>
      </c>
      <c r="AX87" s="22">
        <v>0</v>
      </c>
      <c r="AY87" s="22">
        <v>17784.599999999999</v>
      </c>
      <c r="AZ87" s="22">
        <v>0</v>
      </c>
      <c r="BA87" s="22">
        <v>0</v>
      </c>
      <c r="BB87" s="22">
        <f t="shared" si="29"/>
        <v>17784.599999999999</v>
      </c>
      <c r="BC87" s="22">
        <v>0</v>
      </c>
      <c r="BD87" s="22">
        <v>0</v>
      </c>
      <c r="BE87" s="22">
        <v>0</v>
      </c>
      <c r="BF87" s="22">
        <v>17784.599999999999</v>
      </c>
      <c r="BG87" s="22">
        <v>0</v>
      </c>
      <c r="BH87" s="22">
        <f t="shared" si="30"/>
        <v>17784.599999999999</v>
      </c>
      <c r="BI87" s="22">
        <v>0</v>
      </c>
      <c r="BJ87" s="22">
        <v>0</v>
      </c>
      <c r="BK87" s="22">
        <v>0</v>
      </c>
      <c r="BL87" s="22">
        <v>17784.599999999999</v>
      </c>
      <c r="BM87" s="22">
        <v>0</v>
      </c>
      <c r="BN87" s="22">
        <f t="shared" si="31"/>
        <v>17784.599999999999</v>
      </c>
      <c r="BO87" s="22">
        <f t="shared" si="32"/>
        <v>53353.799999999996</v>
      </c>
      <c r="BP87" s="22">
        <f t="shared" si="21"/>
        <v>159311.97000000003</v>
      </c>
      <c r="BQ87" s="22">
        <v>0</v>
      </c>
      <c r="BR87" s="22">
        <v>0</v>
      </c>
      <c r="BS87" s="22">
        <v>0</v>
      </c>
      <c r="BT87" s="22">
        <v>4446.1499999999996</v>
      </c>
      <c r="BU87" s="22">
        <v>0</v>
      </c>
      <c r="BV87" s="30">
        <f t="shared" si="33"/>
        <v>4446.1499999999996</v>
      </c>
      <c r="BW87" s="22">
        <v>0</v>
      </c>
      <c r="BX87" s="22">
        <v>0</v>
      </c>
      <c r="BY87" s="22">
        <v>0</v>
      </c>
      <c r="BZ87" s="22">
        <v>3035.2200000000012</v>
      </c>
      <c r="CA87" s="22">
        <v>0</v>
      </c>
      <c r="CB87" s="22">
        <f t="shared" si="34"/>
        <v>3035.2200000000012</v>
      </c>
      <c r="CC87" s="22">
        <v>0</v>
      </c>
      <c r="CD87" s="22">
        <v>0</v>
      </c>
      <c r="CE87" s="22">
        <v>0</v>
      </c>
      <c r="CF87" s="22">
        <v>2312</v>
      </c>
      <c r="CG87" s="22">
        <v>0</v>
      </c>
      <c r="CH87" s="30">
        <f t="shared" si="35"/>
        <v>2312</v>
      </c>
      <c r="CI87" s="30">
        <f t="shared" si="36"/>
        <v>9793.3700000000008</v>
      </c>
      <c r="CJ87" s="30">
        <f t="shared" si="37"/>
        <v>169105.33999999997</v>
      </c>
    </row>
    <row r="88" spans="1:90">
      <c r="A88" s="27" t="s">
        <v>194</v>
      </c>
      <c r="B88" s="27" t="s">
        <v>195</v>
      </c>
      <c r="C88" s="28"/>
      <c r="D88" s="28">
        <v>0</v>
      </c>
      <c r="E88" s="28">
        <v>0</v>
      </c>
      <c r="F88" s="28">
        <v>193834.55</v>
      </c>
      <c r="G88" s="28">
        <v>0</v>
      </c>
      <c r="H88" s="28"/>
      <c r="I88" s="28">
        <f t="shared" si="22"/>
        <v>193834.55</v>
      </c>
      <c r="J88" s="28">
        <v>0</v>
      </c>
      <c r="K88" s="28">
        <v>0</v>
      </c>
      <c r="L88" s="28">
        <v>190858.97</v>
      </c>
      <c r="M88" s="28">
        <v>0</v>
      </c>
      <c r="N88" s="28">
        <v>0</v>
      </c>
      <c r="O88" s="29"/>
      <c r="P88" s="28">
        <f t="shared" si="23"/>
        <v>190858.97</v>
      </c>
      <c r="Q88" s="28">
        <v>0</v>
      </c>
      <c r="R88" s="28">
        <v>0</v>
      </c>
      <c r="S88" s="28">
        <v>191436.12</v>
      </c>
      <c r="T88" s="28">
        <v>0</v>
      </c>
      <c r="U88" s="28">
        <v>0</v>
      </c>
      <c r="V88" s="31"/>
      <c r="W88" s="28">
        <f t="shared" si="24"/>
        <v>191436.12</v>
      </c>
      <c r="X88" s="28">
        <f t="shared" si="25"/>
        <v>576129.64</v>
      </c>
      <c r="Y88" s="22">
        <v>0</v>
      </c>
      <c r="Z88" s="22">
        <v>0</v>
      </c>
      <c r="AA88" s="22">
        <v>194779.2</v>
      </c>
      <c r="AB88" s="22">
        <v>0</v>
      </c>
      <c r="AC88" s="22">
        <v>0</v>
      </c>
      <c r="AD88" s="22">
        <v>0</v>
      </c>
      <c r="AE88" s="30">
        <f t="shared" si="19"/>
        <v>194779.2</v>
      </c>
      <c r="AF88" s="30">
        <f t="shared" si="20"/>
        <v>770908.84000000008</v>
      </c>
      <c r="AG88" s="22">
        <v>0</v>
      </c>
      <c r="AH88" s="22">
        <v>0</v>
      </c>
      <c r="AI88" s="22">
        <v>194779.2</v>
      </c>
      <c r="AJ88" s="22">
        <v>0</v>
      </c>
      <c r="AK88" s="22">
        <v>0</v>
      </c>
      <c r="AL88" s="22">
        <v>0</v>
      </c>
      <c r="AM88" s="30">
        <f t="shared" si="26"/>
        <v>194779.2</v>
      </c>
      <c r="AN88" s="22">
        <v>0</v>
      </c>
      <c r="AO88" s="22">
        <v>0</v>
      </c>
      <c r="AP88" s="22">
        <v>194779.2</v>
      </c>
      <c r="AQ88" s="22">
        <v>0</v>
      </c>
      <c r="AR88" s="22">
        <v>0</v>
      </c>
      <c r="AS88" s="22">
        <v>0</v>
      </c>
      <c r="AT88" s="30">
        <f t="shared" si="27"/>
        <v>194779.2</v>
      </c>
      <c r="AU88" s="30">
        <f t="shared" si="28"/>
        <v>584337.60000000009</v>
      </c>
      <c r="AV88" s="22">
        <v>0</v>
      </c>
      <c r="AW88" s="22">
        <v>0</v>
      </c>
      <c r="AX88" s="22">
        <v>194779.2</v>
      </c>
      <c r="AY88" s="22">
        <v>0</v>
      </c>
      <c r="AZ88" s="22">
        <v>0</v>
      </c>
      <c r="BA88" s="22">
        <v>0</v>
      </c>
      <c r="BB88" s="22">
        <f t="shared" si="29"/>
        <v>194779.2</v>
      </c>
      <c r="BC88" s="22">
        <v>0</v>
      </c>
      <c r="BD88" s="22">
        <v>0</v>
      </c>
      <c r="BE88" s="22">
        <v>194779.2</v>
      </c>
      <c r="BF88" s="22">
        <v>0</v>
      </c>
      <c r="BG88" s="22">
        <v>0</v>
      </c>
      <c r="BH88" s="22">
        <f t="shared" si="30"/>
        <v>194779.2</v>
      </c>
      <c r="BI88" s="22">
        <v>0</v>
      </c>
      <c r="BJ88" s="22">
        <v>0</v>
      </c>
      <c r="BK88" s="22">
        <v>194779.2</v>
      </c>
      <c r="BL88" s="22">
        <v>0</v>
      </c>
      <c r="BM88" s="22">
        <v>0</v>
      </c>
      <c r="BN88" s="22">
        <f t="shared" si="31"/>
        <v>194779.2</v>
      </c>
      <c r="BO88" s="22">
        <f t="shared" si="32"/>
        <v>584337.60000000009</v>
      </c>
      <c r="BP88" s="22">
        <f t="shared" si="21"/>
        <v>1744804.8399999999</v>
      </c>
      <c r="BQ88" s="22">
        <v>0</v>
      </c>
      <c r="BR88" s="22">
        <v>0</v>
      </c>
      <c r="BS88" s="22">
        <v>48694.8</v>
      </c>
      <c r="BT88" s="22">
        <v>0</v>
      </c>
      <c r="BU88" s="22">
        <v>0</v>
      </c>
      <c r="BV88" s="30">
        <f t="shared" si="33"/>
        <v>48694.8</v>
      </c>
      <c r="BW88" s="22">
        <v>0</v>
      </c>
      <c r="BX88" s="22">
        <v>0</v>
      </c>
      <c r="BY88" s="22">
        <v>33242.179999999993</v>
      </c>
      <c r="BZ88" s="22">
        <v>0</v>
      </c>
      <c r="CA88" s="22">
        <v>0</v>
      </c>
      <c r="CB88" s="22">
        <f t="shared" si="34"/>
        <v>33242.179999999993</v>
      </c>
      <c r="CC88" s="22">
        <v>0</v>
      </c>
      <c r="CD88" s="22">
        <v>0</v>
      </c>
      <c r="CE88" s="22">
        <v>25321.3</v>
      </c>
      <c r="CF88" s="22">
        <v>0</v>
      </c>
      <c r="CG88" s="22">
        <v>0</v>
      </c>
      <c r="CH88" s="30">
        <f t="shared" si="35"/>
        <v>25321.3</v>
      </c>
      <c r="CI88" s="30">
        <f t="shared" si="36"/>
        <v>107258.28</v>
      </c>
      <c r="CJ88" s="30">
        <f t="shared" si="37"/>
        <v>1852063.1200000003</v>
      </c>
    </row>
    <row r="89" spans="1:90">
      <c r="A89" s="27" t="s">
        <v>196</v>
      </c>
      <c r="B89" s="27" t="s">
        <v>197</v>
      </c>
      <c r="C89" s="28"/>
      <c r="D89" s="28">
        <v>76883.039999999994</v>
      </c>
      <c r="E89" s="28">
        <v>0</v>
      </c>
      <c r="F89" s="28">
        <v>0</v>
      </c>
      <c r="G89" s="28">
        <v>70708.63</v>
      </c>
      <c r="H89" s="28"/>
      <c r="I89" s="28">
        <f t="shared" si="22"/>
        <v>147591.66999999998</v>
      </c>
      <c r="J89" s="28">
        <v>75702.8</v>
      </c>
      <c r="K89" s="28">
        <v>0</v>
      </c>
      <c r="L89" s="28">
        <v>0</v>
      </c>
      <c r="M89" s="28">
        <v>69623.179999999993</v>
      </c>
      <c r="N89" s="28">
        <v>0</v>
      </c>
      <c r="O89" s="29"/>
      <c r="P89" s="28">
        <f t="shared" si="23"/>
        <v>145325.97999999998</v>
      </c>
      <c r="Q89" s="28">
        <v>75931.72</v>
      </c>
      <c r="R89" s="28">
        <v>0</v>
      </c>
      <c r="S89" s="28">
        <v>0</v>
      </c>
      <c r="T89" s="28">
        <v>69833.72</v>
      </c>
      <c r="U89" s="28">
        <v>0</v>
      </c>
      <c r="V89" s="31"/>
      <c r="W89" s="28">
        <f t="shared" si="24"/>
        <v>145765.44</v>
      </c>
      <c r="X89" s="28">
        <f t="shared" si="25"/>
        <v>438683.08999999997</v>
      </c>
      <c r="Y89" s="22">
        <f>25359.8+1590.2</f>
        <v>26950</v>
      </c>
      <c r="Z89" s="22">
        <v>0</v>
      </c>
      <c r="AA89" s="22">
        <v>0</v>
      </c>
      <c r="AB89" s="22">
        <v>71053.23</v>
      </c>
      <c r="AC89" s="22">
        <v>0</v>
      </c>
      <c r="AD89" s="22">
        <v>0</v>
      </c>
      <c r="AE89" s="30">
        <f t="shared" si="19"/>
        <v>98003.23</v>
      </c>
      <c r="AF89" s="30">
        <f t="shared" si="20"/>
        <v>536686.31999999995</v>
      </c>
      <c r="AG89" s="22">
        <v>25997.129999999997</v>
      </c>
      <c r="AH89" s="22">
        <v>0</v>
      </c>
      <c r="AI89" s="22">
        <v>0</v>
      </c>
      <c r="AJ89" s="22">
        <v>71053.23</v>
      </c>
      <c r="AK89" s="22">
        <v>0</v>
      </c>
      <c r="AL89" s="22">
        <v>0</v>
      </c>
      <c r="AM89" s="30">
        <f t="shared" si="26"/>
        <v>97050.359999999986</v>
      </c>
      <c r="AN89" s="22">
        <v>34715.79</v>
      </c>
      <c r="AO89" s="22">
        <v>0</v>
      </c>
      <c r="AP89" s="22">
        <v>0</v>
      </c>
      <c r="AQ89" s="22">
        <v>71053.23</v>
      </c>
      <c r="AR89" s="22">
        <v>0</v>
      </c>
      <c r="AS89" s="22">
        <v>0</v>
      </c>
      <c r="AT89" s="30">
        <f t="shared" si="27"/>
        <v>105769.01999999999</v>
      </c>
      <c r="AU89" s="30">
        <f t="shared" si="28"/>
        <v>300822.61</v>
      </c>
      <c r="AV89" s="22">
        <v>25359.800000000003</v>
      </c>
      <c r="AW89" s="22">
        <v>0</v>
      </c>
      <c r="AX89" s="22">
        <v>0</v>
      </c>
      <c r="AY89" s="22">
        <v>71053.23</v>
      </c>
      <c r="AZ89" s="22">
        <v>0</v>
      </c>
      <c r="BA89" s="22">
        <v>0</v>
      </c>
      <c r="BB89" s="22">
        <f t="shared" si="29"/>
        <v>96413.03</v>
      </c>
      <c r="BC89" s="22">
        <v>25359.800000000003</v>
      </c>
      <c r="BD89" s="22">
        <v>0</v>
      </c>
      <c r="BE89" s="22">
        <v>0</v>
      </c>
      <c r="BF89" s="22">
        <v>71053.23</v>
      </c>
      <c r="BG89" s="22">
        <v>0</v>
      </c>
      <c r="BH89" s="22">
        <f t="shared" si="30"/>
        <v>96413.03</v>
      </c>
      <c r="BI89" s="22">
        <v>25359.800000000003</v>
      </c>
      <c r="BJ89" s="22">
        <v>0</v>
      </c>
      <c r="BK89" s="22">
        <v>0</v>
      </c>
      <c r="BL89" s="22">
        <v>71053.23</v>
      </c>
      <c r="BM89" s="22">
        <v>0</v>
      </c>
      <c r="BN89" s="22">
        <f t="shared" si="31"/>
        <v>96413.03</v>
      </c>
      <c r="BO89" s="22">
        <f t="shared" si="32"/>
        <v>289239.08999999997</v>
      </c>
      <c r="BP89" s="22">
        <f t="shared" si="21"/>
        <v>1028744.79</v>
      </c>
      <c r="BQ89" s="22">
        <f>21245.88-1590.2</f>
        <v>19655.68</v>
      </c>
      <c r="BR89" s="22">
        <v>0</v>
      </c>
      <c r="BS89" s="22">
        <v>0</v>
      </c>
      <c r="BT89" s="22">
        <v>17763.310000000001</v>
      </c>
      <c r="BU89" s="22">
        <v>0</v>
      </c>
      <c r="BV89" s="30">
        <f t="shared" si="33"/>
        <v>37418.990000000005</v>
      </c>
      <c r="BW89" s="22">
        <v>14503.789999999997</v>
      </c>
      <c r="BX89" s="22">
        <v>0</v>
      </c>
      <c r="BY89" s="22">
        <v>0</v>
      </c>
      <c r="BZ89" s="22">
        <v>12126.359999999995</v>
      </c>
      <c r="CA89" s="22">
        <v>0</v>
      </c>
      <c r="CB89" s="22">
        <f t="shared" si="34"/>
        <v>26630.149999999994</v>
      </c>
      <c r="CC89" s="22">
        <v>11047.86</v>
      </c>
      <c r="CD89" s="22">
        <v>0</v>
      </c>
      <c r="CE89" s="22">
        <v>0</v>
      </c>
      <c r="CF89" s="22">
        <v>9236.92</v>
      </c>
      <c r="CG89" s="22">
        <v>0</v>
      </c>
      <c r="CH89" s="30">
        <f t="shared" si="35"/>
        <v>20284.78</v>
      </c>
      <c r="CI89" s="30">
        <f t="shared" si="36"/>
        <v>84333.92</v>
      </c>
      <c r="CJ89" s="30">
        <f t="shared" si="37"/>
        <v>1113078.71</v>
      </c>
      <c r="CL89" s="6"/>
    </row>
    <row r="90" spans="1:90">
      <c r="A90" s="27" t="s">
        <v>198</v>
      </c>
      <c r="B90" s="27" t="s">
        <v>199</v>
      </c>
      <c r="C90" s="28"/>
      <c r="D90" s="28">
        <v>0</v>
      </c>
      <c r="E90" s="28">
        <v>0</v>
      </c>
      <c r="F90" s="28">
        <v>0</v>
      </c>
      <c r="G90" s="28">
        <v>0</v>
      </c>
      <c r="H90" s="28"/>
      <c r="I90" s="28">
        <f t="shared" si="22"/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9"/>
      <c r="P90" s="28">
        <f t="shared" si="23"/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31"/>
      <c r="W90" s="28">
        <f t="shared" si="24"/>
        <v>0</v>
      </c>
      <c r="X90" s="28">
        <f t="shared" si="25"/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30">
        <f t="shared" si="19"/>
        <v>0</v>
      </c>
      <c r="AF90" s="30">
        <f t="shared" si="20"/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30">
        <f t="shared" si="26"/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30">
        <f t="shared" si="27"/>
        <v>0</v>
      </c>
      <c r="AU90" s="30">
        <f t="shared" si="28"/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f t="shared" si="29"/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f t="shared" si="30"/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f t="shared" si="31"/>
        <v>0</v>
      </c>
      <c r="BO90" s="22">
        <f t="shared" si="32"/>
        <v>0</v>
      </c>
      <c r="BP90" s="22">
        <f t="shared" si="21"/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30">
        <f t="shared" si="33"/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f t="shared" si="34"/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30">
        <f t="shared" si="35"/>
        <v>0</v>
      </c>
      <c r="CI90" s="30">
        <f t="shared" si="36"/>
        <v>0</v>
      </c>
      <c r="CJ90" s="30">
        <f t="shared" si="37"/>
        <v>0</v>
      </c>
    </row>
    <row r="91" spans="1:90">
      <c r="A91" s="27" t="s">
        <v>200</v>
      </c>
      <c r="B91" s="27" t="s">
        <v>201</v>
      </c>
      <c r="C91" s="28"/>
      <c r="D91" s="28">
        <v>0</v>
      </c>
      <c r="E91" s="28">
        <v>0</v>
      </c>
      <c r="F91" s="28">
        <v>225098.18</v>
      </c>
      <c r="G91" s="28">
        <v>0</v>
      </c>
      <c r="H91" s="28"/>
      <c r="I91" s="28">
        <f t="shared" si="22"/>
        <v>225098.18</v>
      </c>
      <c r="J91" s="28">
        <v>0</v>
      </c>
      <c r="K91" s="28">
        <v>0</v>
      </c>
      <c r="L91" s="28">
        <v>221642.68</v>
      </c>
      <c r="M91" s="28">
        <v>0</v>
      </c>
      <c r="N91" s="28">
        <v>0</v>
      </c>
      <c r="O91" s="29"/>
      <c r="P91" s="28">
        <f t="shared" si="23"/>
        <v>221642.68</v>
      </c>
      <c r="Q91" s="28">
        <v>0</v>
      </c>
      <c r="R91" s="28">
        <v>0</v>
      </c>
      <c r="S91" s="28">
        <v>222312.92</v>
      </c>
      <c r="T91" s="28">
        <v>0</v>
      </c>
      <c r="U91" s="28">
        <v>0</v>
      </c>
      <c r="V91" s="31"/>
      <c r="W91" s="28">
        <f t="shared" si="24"/>
        <v>222312.92</v>
      </c>
      <c r="X91" s="28">
        <f t="shared" si="25"/>
        <v>669053.78</v>
      </c>
      <c r="Y91" s="22">
        <v>0</v>
      </c>
      <c r="Z91" s="22">
        <v>0</v>
      </c>
      <c r="AA91" s="22">
        <v>226195.20000000001</v>
      </c>
      <c r="AB91" s="22">
        <v>0</v>
      </c>
      <c r="AC91" s="22">
        <v>0</v>
      </c>
      <c r="AD91" s="22">
        <v>0</v>
      </c>
      <c r="AE91" s="30">
        <f t="shared" si="19"/>
        <v>226195.20000000001</v>
      </c>
      <c r="AF91" s="30">
        <f t="shared" si="20"/>
        <v>895248.98</v>
      </c>
      <c r="AG91" s="22">
        <v>0</v>
      </c>
      <c r="AH91" s="22">
        <v>0</v>
      </c>
      <c r="AI91" s="22">
        <v>226195.20000000001</v>
      </c>
      <c r="AJ91" s="22">
        <v>0</v>
      </c>
      <c r="AK91" s="22">
        <v>0</v>
      </c>
      <c r="AL91" s="22">
        <v>0</v>
      </c>
      <c r="AM91" s="30">
        <f t="shared" si="26"/>
        <v>226195.20000000001</v>
      </c>
      <c r="AN91" s="22">
        <v>0</v>
      </c>
      <c r="AO91" s="22">
        <v>0</v>
      </c>
      <c r="AP91" s="22">
        <v>226195.20000000001</v>
      </c>
      <c r="AQ91" s="22">
        <v>0</v>
      </c>
      <c r="AR91" s="22">
        <v>0</v>
      </c>
      <c r="AS91" s="22">
        <v>0</v>
      </c>
      <c r="AT91" s="30">
        <f t="shared" si="27"/>
        <v>226195.20000000001</v>
      </c>
      <c r="AU91" s="30">
        <f t="shared" si="28"/>
        <v>678585.60000000009</v>
      </c>
      <c r="AV91" s="22">
        <v>0</v>
      </c>
      <c r="AW91" s="22">
        <v>0</v>
      </c>
      <c r="AX91" s="22">
        <v>226195.20000000001</v>
      </c>
      <c r="AY91" s="22">
        <v>0</v>
      </c>
      <c r="AZ91" s="22">
        <v>0</v>
      </c>
      <c r="BA91" s="22">
        <v>0</v>
      </c>
      <c r="BB91" s="22">
        <f t="shared" si="29"/>
        <v>226195.20000000001</v>
      </c>
      <c r="BC91" s="22">
        <v>0</v>
      </c>
      <c r="BD91" s="22">
        <v>0</v>
      </c>
      <c r="BE91" s="22">
        <v>226195.20000000001</v>
      </c>
      <c r="BF91" s="22">
        <v>0</v>
      </c>
      <c r="BG91" s="22">
        <v>0</v>
      </c>
      <c r="BH91" s="22">
        <f t="shared" si="30"/>
        <v>226195.20000000001</v>
      </c>
      <c r="BI91" s="22">
        <v>0</v>
      </c>
      <c r="BJ91" s="22">
        <v>0</v>
      </c>
      <c r="BK91" s="22">
        <v>226195.20000000001</v>
      </c>
      <c r="BL91" s="22">
        <v>0</v>
      </c>
      <c r="BM91" s="22">
        <v>0</v>
      </c>
      <c r="BN91" s="22">
        <f t="shared" si="31"/>
        <v>226195.20000000001</v>
      </c>
      <c r="BO91" s="22">
        <f t="shared" si="32"/>
        <v>678585.60000000009</v>
      </c>
      <c r="BP91" s="22">
        <f t="shared" si="21"/>
        <v>2026224.9799999997</v>
      </c>
      <c r="BQ91" s="22">
        <v>0</v>
      </c>
      <c r="BR91" s="22">
        <v>0</v>
      </c>
      <c r="BS91" s="22">
        <v>56548.800000000003</v>
      </c>
      <c r="BT91" s="22">
        <v>0</v>
      </c>
      <c r="BU91" s="22">
        <v>0</v>
      </c>
      <c r="BV91" s="30">
        <f t="shared" si="33"/>
        <v>56548.800000000003</v>
      </c>
      <c r="BW91" s="22">
        <v>0</v>
      </c>
      <c r="BX91" s="22">
        <v>0</v>
      </c>
      <c r="BY91" s="22">
        <v>38603.819999999992</v>
      </c>
      <c r="BZ91" s="22">
        <v>0</v>
      </c>
      <c r="CA91" s="22">
        <v>0</v>
      </c>
      <c r="CB91" s="22">
        <f t="shared" si="34"/>
        <v>38603.819999999992</v>
      </c>
      <c r="CC91" s="22">
        <v>0</v>
      </c>
      <c r="CD91" s="22">
        <v>0</v>
      </c>
      <c r="CE91" s="22">
        <v>29405.38</v>
      </c>
      <c r="CF91" s="22">
        <v>0</v>
      </c>
      <c r="CG91" s="22">
        <v>0</v>
      </c>
      <c r="CH91" s="30">
        <f t="shared" si="35"/>
        <v>29405.38</v>
      </c>
      <c r="CI91" s="30">
        <f t="shared" si="36"/>
        <v>124558</v>
      </c>
      <c r="CJ91" s="30">
        <f t="shared" si="37"/>
        <v>2150782.9800000004</v>
      </c>
    </row>
    <row r="92" spans="1:90">
      <c r="A92" s="27" t="s">
        <v>202</v>
      </c>
      <c r="B92" s="27" t="s">
        <v>203</v>
      </c>
      <c r="C92" s="28"/>
      <c r="D92" s="28">
        <v>530851.65</v>
      </c>
      <c r="E92" s="28">
        <v>0</v>
      </c>
      <c r="F92" s="28">
        <v>0</v>
      </c>
      <c r="G92" s="28">
        <v>29717.29</v>
      </c>
      <c r="H92" s="28"/>
      <c r="I92" s="28">
        <f t="shared" si="22"/>
        <v>560568.94000000006</v>
      </c>
      <c r="J92" s="28">
        <v>522702.49</v>
      </c>
      <c r="K92" s="28">
        <v>0</v>
      </c>
      <c r="L92" s="28">
        <v>0</v>
      </c>
      <c r="M92" s="28">
        <v>29261.1</v>
      </c>
      <c r="N92" s="28">
        <v>0</v>
      </c>
      <c r="O92" s="29"/>
      <c r="P92" s="28">
        <f t="shared" si="23"/>
        <v>551963.59</v>
      </c>
      <c r="Q92" s="28">
        <v>524283.12</v>
      </c>
      <c r="R92" s="28">
        <v>0</v>
      </c>
      <c r="S92" s="28">
        <v>0</v>
      </c>
      <c r="T92" s="28">
        <v>29349.58</v>
      </c>
      <c r="U92" s="28">
        <v>0</v>
      </c>
      <c r="V92" s="31"/>
      <c r="W92" s="28">
        <f t="shared" si="24"/>
        <v>553632.69999999995</v>
      </c>
      <c r="X92" s="28">
        <f t="shared" si="25"/>
        <v>1666165.23</v>
      </c>
      <c r="Y92" s="22">
        <f>631970.31+257621.62</f>
        <v>889591.93</v>
      </c>
      <c r="Z92" s="22">
        <v>0</v>
      </c>
      <c r="AA92" s="22">
        <v>0</v>
      </c>
      <c r="AB92" s="22">
        <v>29862.12</v>
      </c>
      <c r="AC92" s="22">
        <v>0</v>
      </c>
      <c r="AD92" s="22">
        <v>0</v>
      </c>
      <c r="AE92" s="30">
        <f t="shared" si="19"/>
        <v>919454.05</v>
      </c>
      <c r="AF92" s="30">
        <f t="shared" si="20"/>
        <v>2585619.2800000003</v>
      </c>
      <c r="AG92" s="22">
        <v>599767.6100000001</v>
      </c>
      <c r="AH92" s="22">
        <v>0</v>
      </c>
      <c r="AI92" s="22">
        <v>0</v>
      </c>
      <c r="AJ92" s="22">
        <v>29862.12</v>
      </c>
      <c r="AK92" s="22">
        <v>0</v>
      </c>
      <c r="AL92" s="22">
        <v>0</v>
      </c>
      <c r="AM92" s="30">
        <f t="shared" si="26"/>
        <v>629629.7300000001</v>
      </c>
      <c r="AN92" s="22">
        <v>599767.6100000001</v>
      </c>
      <c r="AO92" s="22">
        <v>0</v>
      </c>
      <c r="AP92" s="22">
        <v>0</v>
      </c>
      <c r="AQ92" s="22">
        <v>29862.12</v>
      </c>
      <c r="AR92" s="22">
        <v>0</v>
      </c>
      <c r="AS92" s="22">
        <v>0</v>
      </c>
      <c r="AT92" s="30">
        <f t="shared" si="27"/>
        <v>629629.7300000001</v>
      </c>
      <c r="AU92" s="30">
        <f t="shared" si="28"/>
        <v>2178713.5100000002</v>
      </c>
      <c r="AV92" s="22">
        <v>599767.6100000001</v>
      </c>
      <c r="AW92" s="22">
        <v>0</v>
      </c>
      <c r="AX92" s="22">
        <v>0</v>
      </c>
      <c r="AY92" s="22">
        <v>29862.12</v>
      </c>
      <c r="AZ92" s="22">
        <v>0</v>
      </c>
      <c r="BA92" s="22">
        <v>0</v>
      </c>
      <c r="BB92" s="22">
        <f t="shared" si="29"/>
        <v>629629.7300000001</v>
      </c>
      <c r="BC92" s="22">
        <v>599767.6100000001</v>
      </c>
      <c r="BD92" s="22">
        <v>0</v>
      </c>
      <c r="BE92" s="22">
        <v>0</v>
      </c>
      <c r="BF92" s="22">
        <v>29862.12</v>
      </c>
      <c r="BG92" s="22">
        <v>0</v>
      </c>
      <c r="BH92" s="22">
        <f t="shared" si="30"/>
        <v>629629.7300000001</v>
      </c>
      <c r="BI92" s="22">
        <v>599767.6100000001</v>
      </c>
      <c r="BJ92" s="22">
        <v>0</v>
      </c>
      <c r="BK92" s="22">
        <v>0</v>
      </c>
      <c r="BL92" s="22">
        <v>29862.12</v>
      </c>
      <c r="BM92" s="22">
        <v>0</v>
      </c>
      <c r="BN92" s="22">
        <f t="shared" si="31"/>
        <v>629629.7300000001</v>
      </c>
      <c r="BO92" s="22">
        <f t="shared" si="32"/>
        <v>1888889.1900000004</v>
      </c>
      <c r="BP92" s="22">
        <f t="shared" si="21"/>
        <v>5733767.9300000016</v>
      </c>
      <c r="BQ92" s="22">
        <v>190195.28</v>
      </c>
      <c r="BR92" s="22">
        <v>0</v>
      </c>
      <c r="BS92" s="22">
        <v>0</v>
      </c>
      <c r="BT92" s="22">
        <v>7465.53</v>
      </c>
      <c r="BU92" s="22">
        <v>0</v>
      </c>
      <c r="BV92" s="30">
        <f t="shared" si="33"/>
        <v>197660.81</v>
      </c>
      <c r="BW92" s="22">
        <v>119620.38000000002</v>
      </c>
      <c r="BX92" s="22">
        <v>0</v>
      </c>
      <c r="BY92" s="22">
        <v>0</v>
      </c>
      <c r="BZ92" s="22">
        <v>5096.4400000000005</v>
      </c>
      <c r="CA92" s="22">
        <v>0</v>
      </c>
      <c r="CB92" s="22">
        <f t="shared" si="34"/>
        <v>124716.82000000002</v>
      </c>
      <c r="CC92" s="22">
        <v>83444.25</v>
      </c>
      <c r="CD92" s="22">
        <v>0</v>
      </c>
      <c r="CE92" s="22">
        <v>0</v>
      </c>
      <c r="CF92" s="22">
        <v>3882.08</v>
      </c>
      <c r="CG92" s="22">
        <v>0</v>
      </c>
      <c r="CH92" s="30">
        <f t="shared" si="35"/>
        <v>87326.33</v>
      </c>
      <c r="CI92" s="30">
        <f t="shared" si="36"/>
        <v>409703.96</v>
      </c>
      <c r="CJ92" s="30">
        <f t="shared" si="37"/>
        <v>6143471.8900000006</v>
      </c>
    </row>
    <row r="93" spans="1:90">
      <c r="A93" s="27" t="s">
        <v>204</v>
      </c>
      <c r="B93" s="27" t="s">
        <v>205</v>
      </c>
      <c r="C93" s="28"/>
      <c r="D93" s="28">
        <v>0</v>
      </c>
      <c r="E93" s="28">
        <v>0</v>
      </c>
      <c r="F93" s="28">
        <v>0</v>
      </c>
      <c r="G93" s="28">
        <v>33015.269999999997</v>
      </c>
      <c r="H93" s="28"/>
      <c r="I93" s="28">
        <f t="shared" si="22"/>
        <v>33015.269999999997</v>
      </c>
      <c r="J93" s="28">
        <v>0</v>
      </c>
      <c r="K93" s="28">
        <v>0</v>
      </c>
      <c r="L93" s="28">
        <v>0</v>
      </c>
      <c r="M93" s="28">
        <v>32508.45</v>
      </c>
      <c r="N93" s="28">
        <v>0</v>
      </c>
      <c r="O93" s="29"/>
      <c r="P93" s="28">
        <f t="shared" si="23"/>
        <v>32508.45</v>
      </c>
      <c r="Q93" s="28">
        <v>0</v>
      </c>
      <c r="R93" s="28">
        <v>0</v>
      </c>
      <c r="S93" s="28">
        <v>0</v>
      </c>
      <c r="T93" s="28">
        <v>32606.75</v>
      </c>
      <c r="U93" s="28">
        <v>0</v>
      </c>
      <c r="V93" s="31"/>
      <c r="W93" s="28">
        <f t="shared" si="24"/>
        <v>32606.75</v>
      </c>
      <c r="X93" s="28">
        <f t="shared" si="25"/>
        <v>98130.47</v>
      </c>
      <c r="Y93" s="22">
        <v>0</v>
      </c>
      <c r="Z93" s="22">
        <v>0</v>
      </c>
      <c r="AA93" s="22">
        <v>0</v>
      </c>
      <c r="AB93" s="22">
        <v>33176.17</v>
      </c>
      <c r="AC93" s="22">
        <v>0</v>
      </c>
      <c r="AD93" s="22">
        <v>0</v>
      </c>
      <c r="AE93" s="30">
        <f t="shared" si="19"/>
        <v>33176.17</v>
      </c>
      <c r="AF93" s="30">
        <f t="shared" si="20"/>
        <v>131306.64000000001</v>
      </c>
      <c r="AG93" s="22">
        <v>0</v>
      </c>
      <c r="AH93" s="22">
        <v>0</v>
      </c>
      <c r="AI93" s="22">
        <v>0</v>
      </c>
      <c r="AJ93" s="22">
        <v>33176.17</v>
      </c>
      <c r="AK93" s="22">
        <v>0</v>
      </c>
      <c r="AL93" s="22">
        <v>0</v>
      </c>
      <c r="AM93" s="30">
        <f t="shared" si="26"/>
        <v>33176.17</v>
      </c>
      <c r="AN93" s="22">
        <v>0</v>
      </c>
      <c r="AO93" s="22">
        <v>0</v>
      </c>
      <c r="AP93" s="22">
        <v>0</v>
      </c>
      <c r="AQ93" s="22">
        <v>33176.17</v>
      </c>
      <c r="AR93" s="22">
        <v>0</v>
      </c>
      <c r="AS93" s="22">
        <v>0</v>
      </c>
      <c r="AT93" s="30">
        <f t="shared" si="27"/>
        <v>33176.17</v>
      </c>
      <c r="AU93" s="30">
        <f t="shared" si="28"/>
        <v>99528.51</v>
      </c>
      <c r="AV93" s="22">
        <v>0</v>
      </c>
      <c r="AW93" s="22">
        <v>0</v>
      </c>
      <c r="AX93" s="22">
        <v>0</v>
      </c>
      <c r="AY93" s="22">
        <v>33176.17</v>
      </c>
      <c r="AZ93" s="22">
        <v>0</v>
      </c>
      <c r="BA93" s="22">
        <v>0</v>
      </c>
      <c r="BB93" s="22">
        <f t="shared" si="29"/>
        <v>33176.17</v>
      </c>
      <c r="BC93" s="22">
        <v>0</v>
      </c>
      <c r="BD93" s="22">
        <v>0</v>
      </c>
      <c r="BE93" s="22">
        <v>0</v>
      </c>
      <c r="BF93" s="22">
        <v>33176.17</v>
      </c>
      <c r="BG93" s="22">
        <v>0</v>
      </c>
      <c r="BH93" s="22">
        <f t="shared" si="30"/>
        <v>33176.17</v>
      </c>
      <c r="BI93" s="22">
        <v>0</v>
      </c>
      <c r="BJ93" s="22">
        <v>0</v>
      </c>
      <c r="BK93" s="22">
        <v>0</v>
      </c>
      <c r="BL93" s="22">
        <v>33176.17</v>
      </c>
      <c r="BM93" s="22">
        <v>0</v>
      </c>
      <c r="BN93" s="22">
        <f t="shared" si="31"/>
        <v>33176.17</v>
      </c>
      <c r="BO93" s="22">
        <f t="shared" si="32"/>
        <v>99528.51</v>
      </c>
      <c r="BP93" s="22">
        <f t="shared" si="21"/>
        <v>297187.48999999993</v>
      </c>
      <c r="BQ93" s="22">
        <v>0</v>
      </c>
      <c r="BR93" s="22">
        <v>0</v>
      </c>
      <c r="BS93" s="22">
        <v>0</v>
      </c>
      <c r="BT93" s="22">
        <v>8294.0400000000009</v>
      </c>
      <c r="BU93" s="22">
        <v>0</v>
      </c>
      <c r="BV93" s="30">
        <f t="shared" si="33"/>
        <v>8294.0400000000009</v>
      </c>
      <c r="BW93" s="22">
        <v>0</v>
      </c>
      <c r="BX93" s="22">
        <v>0</v>
      </c>
      <c r="BY93" s="22">
        <v>0</v>
      </c>
      <c r="BZ93" s="22">
        <v>5662.0500000000011</v>
      </c>
      <c r="CA93" s="22">
        <v>0</v>
      </c>
      <c r="CB93" s="22">
        <f t="shared" si="34"/>
        <v>5662.0500000000011</v>
      </c>
      <c r="CC93" s="22">
        <v>0</v>
      </c>
      <c r="CD93" s="22">
        <v>0</v>
      </c>
      <c r="CE93" s="22">
        <v>0</v>
      </c>
      <c r="CF93" s="22">
        <v>4312.8999999999996</v>
      </c>
      <c r="CG93" s="22">
        <v>0</v>
      </c>
      <c r="CH93" s="30">
        <f t="shared" si="35"/>
        <v>4312.8999999999996</v>
      </c>
      <c r="CI93" s="30">
        <f t="shared" si="36"/>
        <v>18268.990000000002</v>
      </c>
      <c r="CJ93" s="30">
        <f t="shared" si="37"/>
        <v>315456.48</v>
      </c>
    </row>
    <row r="94" spans="1:90">
      <c r="A94" s="27" t="s">
        <v>206</v>
      </c>
      <c r="B94" s="27" t="s">
        <v>207</v>
      </c>
      <c r="C94" s="28"/>
      <c r="D94" s="28">
        <v>0</v>
      </c>
      <c r="E94" s="28">
        <v>0</v>
      </c>
      <c r="F94" s="28">
        <v>0</v>
      </c>
      <c r="G94" s="28">
        <v>66913.73</v>
      </c>
      <c r="H94" s="28"/>
      <c r="I94" s="28">
        <f t="shared" si="22"/>
        <v>66913.73</v>
      </c>
      <c r="J94" s="28">
        <v>0</v>
      </c>
      <c r="K94" s="28">
        <v>0</v>
      </c>
      <c r="L94" s="28">
        <v>0</v>
      </c>
      <c r="M94" s="28">
        <v>65886.53</v>
      </c>
      <c r="N94" s="28">
        <v>0</v>
      </c>
      <c r="O94" s="29"/>
      <c r="P94" s="28">
        <f t="shared" si="23"/>
        <v>65886.53</v>
      </c>
      <c r="Q94" s="28">
        <v>0</v>
      </c>
      <c r="R94" s="28">
        <v>0</v>
      </c>
      <c r="S94" s="28">
        <v>0</v>
      </c>
      <c r="T94" s="28">
        <v>66085.759999999995</v>
      </c>
      <c r="U94" s="28">
        <v>0</v>
      </c>
      <c r="V94" s="31"/>
      <c r="W94" s="28">
        <f t="shared" si="24"/>
        <v>66085.759999999995</v>
      </c>
      <c r="X94" s="28">
        <f t="shared" si="25"/>
        <v>198886.02000000002</v>
      </c>
      <c r="Y94" s="22">
        <v>0</v>
      </c>
      <c r="Z94" s="22">
        <v>0</v>
      </c>
      <c r="AA94" s="22">
        <v>0</v>
      </c>
      <c r="AB94" s="22">
        <v>67239.83</v>
      </c>
      <c r="AC94" s="22">
        <v>0</v>
      </c>
      <c r="AD94" s="22">
        <v>1960</v>
      </c>
      <c r="AE94" s="30">
        <f t="shared" si="19"/>
        <v>69199.83</v>
      </c>
      <c r="AF94" s="30">
        <f t="shared" si="20"/>
        <v>268085.85000000003</v>
      </c>
      <c r="AG94" s="22">
        <v>0</v>
      </c>
      <c r="AH94" s="22">
        <v>0</v>
      </c>
      <c r="AI94" s="22">
        <v>0</v>
      </c>
      <c r="AJ94" s="22">
        <v>67239.83</v>
      </c>
      <c r="AK94" s="22">
        <v>0</v>
      </c>
      <c r="AL94" s="22">
        <v>16520</v>
      </c>
      <c r="AM94" s="30">
        <f t="shared" si="26"/>
        <v>83759.83</v>
      </c>
      <c r="AN94" s="22">
        <v>0</v>
      </c>
      <c r="AO94" s="22">
        <v>0</v>
      </c>
      <c r="AP94" s="22">
        <v>0</v>
      </c>
      <c r="AQ94" s="22">
        <v>77508.56</v>
      </c>
      <c r="AR94" s="22">
        <v>0</v>
      </c>
      <c r="AS94" s="22">
        <v>0</v>
      </c>
      <c r="AT94" s="30">
        <f t="shared" si="27"/>
        <v>77508.56</v>
      </c>
      <c r="AU94" s="30">
        <f t="shared" si="28"/>
        <v>230468.22</v>
      </c>
      <c r="AV94" s="22">
        <v>0</v>
      </c>
      <c r="AW94" s="22">
        <v>0</v>
      </c>
      <c r="AX94" s="22">
        <v>0</v>
      </c>
      <c r="AY94" s="22">
        <f>67239.83+22130.31</f>
        <v>89370.14</v>
      </c>
      <c r="AZ94" s="22">
        <v>0</v>
      </c>
      <c r="BA94" s="22">
        <v>0</v>
      </c>
      <c r="BB94" s="22">
        <f t="shared" si="29"/>
        <v>89370.14</v>
      </c>
      <c r="BC94" s="22">
        <v>0</v>
      </c>
      <c r="BD94" s="22">
        <v>0</v>
      </c>
      <c r="BE94" s="22">
        <v>0</v>
      </c>
      <c r="BF94" s="22">
        <v>67239.83</v>
      </c>
      <c r="BG94" s="22">
        <v>0</v>
      </c>
      <c r="BH94" s="22">
        <f t="shared" si="30"/>
        <v>67239.83</v>
      </c>
      <c r="BI94" s="22">
        <v>0</v>
      </c>
      <c r="BJ94" s="22">
        <v>0</v>
      </c>
      <c r="BK94" s="22">
        <v>0</v>
      </c>
      <c r="BL94" s="22">
        <v>67239.83</v>
      </c>
      <c r="BM94" s="22">
        <v>0</v>
      </c>
      <c r="BN94" s="22">
        <f t="shared" si="31"/>
        <v>67239.83</v>
      </c>
      <c r="BO94" s="22">
        <f t="shared" si="32"/>
        <v>223849.8</v>
      </c>
      <c r="BP94" s="22">
        <f t="shared" si="21"/>
        <v>653204.04</v>
      </c>
      <c r="BQ94" s="22">
        <v>0</v>
      </c>
      <c r="BR94" s="22">
        <v>0</v>
      </c>
      <c r="BS94" s="22">
        <v>0</v>
      </c>
      <c r="BT94" s="22">
        <v>16809.96</v>
      </c>
      <c r="BU94" s="22">
        <v>0</v>
      </c>
      <c r="BV94" s="30">
        <f t="shared" si="33"/>
        <v>16809.96</v>
      </c>
      <c r="BW94" s="22">
        <v>0</v>
      </c>
      <c r="BX94" s="22">
        <v>0</v>
      </c>
      <c r="BY94" s="22">
        <v>0</v>
      </c>
      <c r="BZ94" s="22">
        <v>11475.550000000003</v>
      </c>
      <c r="CA94" s="22">
        <v>0</v>
      </c>
      <c r="CB94" s="22">
        <f t="shared" si="34"/>
        <v>11475.550000000003</v>
      </c>
      <c r="CC94" s="22">
        <v>0</v>
      </c>
      <c r="CD94" s="22">
        <v>0</v>
      </c>
      <c r="CE94" s="22">
        <v>0</v>
      </c>
      <c r="CF94" s="22">
        <v>8741.18</v>
      </c>
      <c r="CG94" s="22">
        <v>0</v>
      </c>
      <c r="CH94" s="30">
        <f t="shared" si="35"/>
        <v>8741.18</v>
      </c>
      <c r="CI94" s="30">
        <f t="shared" si="36"/>
        <v>37026.69</v>
      </c>
      <c r="CJ94" s="30">
        <f t="shared" si="37"/>
        <v>690230.73</v>
      </c>
    </row>
    <row r="95" spans="1:90">
      <c r="A95" s="27" t="s">
        <v>208</v>
      </c>
      <c r="B95" s="27" t="s">
        <v>209</v>
      </c>
      <c r="C95" s="28"/>
      <c r="D95" s="28">
        <v>0</v>
      </c>
      <c r="E95" s="28">
        <v>0</v>
      </c>
      <c r="F95" s="28">
        <v>0</v>
      </c>
      <c r="G95" s="28">
        <v>0</v>
      </c>
      <c r="H95" s="28"/>
      <c r="I95" s="28">
        <f t="shared" si="22"/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9"/>
      <c r="P95" s="28">
        <f t="shared" si="23"/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31"/>
      <c r="W95" s="28">
        <f t="shared" si="24"/>
        <v>0</v>
      </c>
      <c r="X95" s="28">
        <f t="shared" si="25"/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30">
        <f t="shared" si="19"/>
        <v>0</v>
      </c>
      <c r="AF95" s="30">
        <f t="shared" si="20"/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30">
        <f t="shared" si="26"/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30">
        <f t="shared" si="27"/>
        <v>0</v>
      </c>
      <c r="AU95" s="30">
        <f t="shared" si="28"/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f t="shared" si="29"/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f t="shared" si="30"/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f t="shared" si="31"/>
        <v>0</v>
      </c>
      <c r="BO95" s="22">
        <f t="shared" si="32"/>
        <v>0</v>
      </c>
      <c r="BP95" s="22">
        <f t="shared" si="21"/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30">
        <f t="shared" si="33"/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f t="shared" si="34"/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30">
        <f t="shared" si="35"/>
        <v>0</v>
      </c>
      <c r="CI95" s="30">
        <f t="shared" si="36"/>
        <v>0</v>
      </c>
      <c r="CJ95" s="30">
        <f t="shared" si="37"/>
        <v>0</v>
      </c>
    </row>
    <row r="96" spans="1:90">
      <c r="A96" s="27" t="s">
        <v>210</v>
      </c>
      <c r="B96" s="27" t="s">
        <v>211</v>
      </c>
      <c r="C96" s="28"/>
      <c r="D96" s="28">
        <v>0</v>
      </c>
      <c r="E96" s="28">
        <v>0</v>
      </c>
      <c r="F96" s="28">
        <v>0</v>
      </c>
      <c r="G96" s="28">
        <v>0</v>
      </c>
      <c r="H96" s="28"/>
      <c r="I96" s="28">
        <f t="shared" si="22"/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9"/>
      <c r="P96" s="28">
        <f t="shared" si="23"/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31"/>
      <c r="W96" s="28">
        <f t="shared" si="24"/>
        <v>0</v>
      </c>
      <c r="X96" s="28">
        <f t="shared" si="25"/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30">
        <f t="shared" si="19"/>
        <v>0</v>
      </c>
      <c r="AF96" s="30">
        <f t="shared" si="20"/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30">
        <f t="shared" si="26"/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30">
        <f t="shared" si="27"/>
        <v>0</v>
      </c>
      <c r="AU96" s="30">
        <f t="shared" si="28"/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f t="shared" si="29"/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f t="shared" si="30"/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f t="shared" si="31"/>
        <v>0</v>
      </c>
      <c r="BO96" s="22">
        <f t="shared" si="32"/>
        <v>0</v>
      </c>
      <c r="BP96" s="22">
        <f t="shared" si="21"/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30">
        <f t="shared" si="33"/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f t="shared" si="34"/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30">
        <f t="shared" si="35"/>
        <v>0</v>
      </c>
      <c r="CI96" s="30">
        <f t="shared" si="36"/>
        <v>0</v>
      </c>
      <c r="CJ96" s="30">
        <f t="shared" si="37"/>
        <v>0</v>
      </c>
    </row>
    <row r="97" spans="1:91">
      <c r="A97" s="27" t="s">
        <v>212</v>
      </c>
      <c r="B97" s="27" t="s">
        <v>213</v>
      </c>
      <c r="C97" s="28"/>
      <c r="D97" s="28">
        <v>0</v>
      </c>
      <c r="E97" s="28">
        <v>0</v>
      </c>
      <c r="F97" s="28">
        <v>0</v>
      </c>
      <c r="G97" s="28">
        <v>0</v>
      </c>
      <c r="H97" s="28"/>
      <c r="I97" s="28">
        <f t="shared" si="22"/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9"/>
      <c r="P97" s="28">
        <f t="shared" si="23"/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31"/>
      <c r="W97" s="28">
        <f t="shared" si="24"/>
        <v>0</v>
      </c>
      <c r="X97" s="28">
        <f t="shared" si="25"/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30">
        <f t="shared" si="19"/>
        <v>0</v>
      </c>
      <c r="AF97" s="30">
        <f t="shared" si="20"/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30">
        <f t="shared" si="26"/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30">
        <f t="shared" si="27"/>
        <v>0</v>
      </c>
      <c r="AU97" s="30">
        <f t="shared" si="28"/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f t="shared" si="29"/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f t="shared" si="30"/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f t="shared" si="31"/>
        <v>0</v>
      </c>
      <c r="BO97" s="22">
        <f t="shared" si="32"/>
        <v>0</v>
      </c>
      <c r="BP97" s="22">
        <f t="shared" si="21"/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30">
        <f t="shared" si="33"/>
        <v>0</v>
      </c>
      <c r="BW97" s="22">
        <v>0</v>
      </c>
      <c r="BX97" s="22">
        <v>0</v>
      </c>
      <c r="BY97" s="22">
        <v>0</v>
      </c>
      <c r="BZ97" s="22">
        <v>0</v>
      </c>
      <c r="CA97" s="22">
        <v>0</v>
      </c>
      <c r="CB97" s="22">
        <f t="shared" si="34"/>
        <v>0</v>
      </c>
      <c r="CC97" s="22">
        <v>0</v>
      </c>
      <c r="CD97" s="22">
        <v>0</v>
      </c>
      <c r="CE97" s="22">
        <v>0</v>
      </c>
      <c r="CF97" s="22">
        <v>0</v>
      </c>
      <c r="CG97" s="22">
        <v>0</v>
      </c>
      <c r="CH97" s="30">
        <f t="shared" si="35"/>
        <v>0</v>
      </c>
      <c r="CI97" s="30">
        <f t="shared" si="36"/>
        <v>0</v>
      </c>
      <c r="CJ97" s="30">
        <f t="shared" si="37"/>
        <v>0</v>
      </c>
    </row>
    <row r="98" spans="1:91">
      <c r="A98" s="27" t="s">
        <v>214</v>
      </c>
      <c r="B98" s="27" t="s">
        <v>215</v>
      </c>
      <c r="C98" s="28"/>
      <c r="D98" s="28">
        <v>0</v>
      </c>
      <c r="E98" s="28">
        <v>0</v>
      </c>
      <c r="F98" s="28">
        <v>0</v>
      </c>
      <c r="G98" s="28">
        <v>168773.72</v>
      </c>
      <c r="H98" s="28"/>
      <c r="I98" s="28">
        <f t="shared" si="22"/>
        <v>168773.72</v>
      </c>
      <c r="J98" s="28">
        <v>0</v>
      </c>
      <c r="K98" s="28">
        <v>0</v>
      </c>
      <c r="L98" s="28">
        <v>0</v>
      </c>
      <c r="M98" s="28">
        <v>166182.85999999999</v>
      </c>
      <c r="N98" s="28">
        <v>0</v>
      </c>
      <c r="O98" s="29"/>
      <c r="P98" s="28">
        <f t="shared" si="23"/>
        <v>166182.85999999999</v>
      </c>
      <c r="Q98" s="28">
        <v>0</v>
      </c>
      <c r="R98" s="28">
        <v>0</v>
      </c>
      <c r="S98" s="28">
        <v>0</v>
      </c>
      <c r="T98" s="28">
        <v>166685.39000000001</v>
      </c>
      <c r="U98" s="28">
        <v>0</v>
      </c>
      <c r="V98" s="31"/>
      <c r="W98" s="28">
        <f t="shared" si="24"/>
        <v>166685.39000000001</v>
      </c>
      <c r="X98" s="28">
        <f t="shared" si="25"/>
        <v>501641.97</v>
      </c>
      <c r="Y98" s="22">
        <v>0</v>
      </c>
      <c r="Z98" s="22">
        <v>0</v>
      </c>
      <c r="AA98" s="22">
        <v>0</v>
      </c>
      <c r="AB98" s="22">
        <v>169596.24</v>
      </c>
      <c r="AC98" s="22">
        <v>0</v>
      </c>
      <c r="AD98" s="22">
        <v>0</v>
      </c>
      <c r="AE98" s="30">
        <f t="shared" si="19"/>
        <v>169596.24</v>
      </c>
      <c r="AF98" s="30">
        <f t="shared" si="20"/>
        <v>671238.21</v>
      </c>
      <c r="AG98" s="22">
        <v>0</v>
      </c>
      <c r="AH98" s="22">
        <v>0</v>
      </c>
      <c r="AI98" s="22">
        <v>0</v>
      </c>
      <c r="AJ98" s="22">
        <v>216756.05</v>
      </c>
      <c r="AK98" s="22">
        <v>0</v>
      </c>
      <c r="AL98" s="22">
        <v>0</v>
      </c>
      <c r="AM98" s="30">
        <f t="shared" si="26"/>
        <v>216756.05</v>
      </c>
      <c r="AN98" s="22">
        <v>0</v>
      </c>
      <c r="AO98" s="22">
        <v>0</v>
      </c>
      <c r="AP98" s="22">
        <v>0</v>
      </c>
      <c r="AQ98" s="22">
        <v>206581.9</v>
      </c>
      <c r="AR98" s="22">
        <v>0</v>
      </c>
      <c r="AS98" s="22">
        <v>0</v>
      </c>
      <c r="AT98" s="30">
        <f t="shared" si="27"/>
        <v>206581.9</v>
      </c>
      <c r="AU98" s="30">
        <f t="shared" si="28"/>
        <v>592934.18999999994</v>
      </c>
      <c r="AV98" s="22">
        <v>0</v>
      </c>
      <c r="AW98" s="22">
        <v>0</v>
      </c>
      <c r="AX98" s="22">
        <v>0</v>
      </c>
      <c r="AY98" s="22">
        <v>169596.24</v>
      </c>
      <c r="AZ98" s="22">
        <v>0</v>
      </c>
      <c r="BA98" s="22">
        <v>0</v>
      </c>
      <c r="BB98" s="22">
        <f t="shared" si="29"/>
        <v>169596.24</v>
      </c>
      <c r="BC98" s="22">
        <v>0</v>
      </c>
      <c r="BD98" s="22">
        <v>0</v>
      </c>
      <c r="BE98" s="22">
        <v>0</v>
      </c>
      <c r="BF98" s="22">
        <f>169596.24+48386.21</f>
        <v>217982.44999999998</v>
      </c>
      <c r="BG98" s="22">
        <v>0</v>
      </c>
      <c r="BH98" s="22">
        <f t="shared" si="30"/>
        <v>217982.44999999998</v>
      </c>
      <c r="BI98" s="22">
        <v>0</v>
      </c>
      <c r="BJ98" s="22">
        <v>0</v>
      </c>
      <c r="BK98" s="22">
        <v>0</v>
      </c>
      <c r="BL98" s="22">
        <f>169596.24+48386.21</f>
        <v>217982.44999999998</v>
      </c>
      <c r="BM98" s="22">
        <v>0</v>
      </c>
      <c r="BN98" s="22">
        <f t="shared" si="31"/>
        <v>217982.44999999998</v>
      </c>
      <c r="BO98" s="22">
        <f t="shared" si="32"/>
        <v>605561.1399999999</v>
      </c>
      <c r="BP98" s="22">
        <f t="shared" si="21"/>
        <v>1700137.2999999998</v>
      </c>
      <c r="BQ98" s="22">
        <v>0</v>
      </c>
      <c r="BR98" s="22">
        <v>0</v>
      </c>
      <c r="BS98" s="22">
        <v>0</v>
      </c>
      <c r="BT98" s="22">
        <v>42399.06</v>
      </c>
      <c r="BU98" s="22">
        <v>0</v>
      </c>
      <c r="BV98" s="30">
        <f t="shared" si="33"/>
        <v>42399.06</v>
      </c>
      <c r="BW98" s="22">
        <v>0</v>
      </c>
      <c r="BX98" s="22">
        <v>0</v>
      </c>
      <c r="BY98" s="22">
        <v>0</v>
      </c>
      <c r="BZ98" s="22">
        <v>28944.310000000009</v>
      </c>
      <c r="CA98" s="22">
        <v>0</v>
      </c>
      <c r="CB98" s="22">
        <f t="shared" si="34"/>
        <v>28944.310000000009</v>
      </c>
      <c r="CC98" s="22">
        <v>0</v>
      </c>
      <c r="CD98" s="22">
        <v>0</v>
      </c>
      <c r="CE98" s="22">
        <v>0</v>
      </c>
      <c r="CF98" s="22">
        <v>22047.51</v>
      </c>
      <c r="CG98" s="22">
        <v>0</v>
      </c>
      <c r="CH98" s="30">
        <f t="shared" si="35"/>
        <v>22047.51</v>
      </c>
      <c r="CI98" s="30">
        <f t="shared" si="36"/>
        <v>93390.88</v>
      </c>
      <c r="CJ98" s="30">
        <f t="shared" si="37"/>
        <v>1793528.1799999997</v>
      </c>
    </row>
    <row r="99" spans="1:91">
      <c r="A99" s="27" t="s">
        <v>216</v>
      </c>
      <c r="B99" s="27" t="s">
        <v>217</v>
      </c>
      <c r="C99" s="28"/>
      <c r="D99" s="28">
        <v>0</v>
      </c>
      <c r="E99" s="28">
        <v>0</v>
      </c>
      <c r="F99" s="28">
        <v>0</v>
      </c>
      <c r="G99" s="28">
        <v>10491.6</v>
      </c>
      <c r="H99" s="28"/>
      <c r="I99" s="28">
        <f t="shared" si="22"/>
        <v>10491.6</v>
      </c>
      <c r="J99" s="28">
        <v>0</v>
      </c>
      <c r="K99" s="28">
        <v>0</v>
      </c>
      <c r="L99" s="28">
        <v>0</v>
      </c>
      <c r="M99" s="28">
        <v>10330.540000000001</v>
      </c>
      <c r="N99" s="28">
        <v>0</v>
      </c>
      <c r="O99" s="29"/>
      <c r="P99" s="28">
        <f t="shared" si="23"/>
        <v>10330.540000000001</v>
      </c>
      <c r="Q99" s="28">
        <v>0</v>
      </c>
      <c r="R99" s="28">
        <v>0</v>
      </c>
      <c r="S99" s="28">
        <v>0</v>
      </c>
      <c r="T99" s="28">
        <v>10361.780000000001</v>
      </c>
      <c r="U99" s="28">
        <v>0</v>
      </c>
      <c r="V99" s="31"/>
      <c r="W99" s="28">
        <f t="shared" si="24"/>
        <v>10361.780000000001</v>
      </c>
      <c r="X99" s="28">
        <f t="shared" si="25"/>
        <v>31183.919999999998</v>
      </c>
      <c r="Y99" s="22">
        <v>0</v>
      </c>
      <c r="Z99" s="22">
        <v>0</v>
      </c>
      <c r="AA99" s="22">
        <v>0</v>
      </c>
      <c r="AB99" s="22">
        <v>10542.73</v>
      </c>
      <c r="AC99" s="22">
        <v>0</v>
      </c>
      <c r="AD99" s="22">
        <v>0</v>
      </c>
      <c r="AE99" s="30">
        <f t="shared" si="19"/>
        <v>10542.73</v>
      </c>
      <c r="AF99" s="30">
        <f t="shared" si="20"/>
        <v>41726.649999999994</v>
      </c>
      <c r="AG99" s="22">
        <v>0</v>
      </c>
      <c r="AH99" s="22">
        <v>0</v>
      </c>
      <c r="AI99" s="22">
        <v>0</v>
      </c>
      <c r="AJ99" s="22">
        <v>10542.73</v>
      </c>
      <c r="AK99" s="22">
        <v>0</v>
      </c>
      <c r="AL99" s="22">
        <v>0</v>
      </c>
      <c r="AM99" s="30">
        <f t="shared" si="26"/>
        <v>10542.73</v>
      </c>
      <c r="AN99" s="22">
        <v>0</v>
      </c>
      <c r="AO99" s="22">
        <v>0</v>
      </c>
      <c r="AP99" s="22">
        <v>0</v>
      </c>
      <c r="AQ99" s="22">
        <v>10542.73</v>
      </c>
      <c r="AR99" s="22">
        <v>0</v>
      </c>
      <c r="AS99" s="22">
        <v>0</v>
      </c>
      <c r="AT99" s="30">
        <f t="shared" si="27"/>
        <v>10542.73</v>
      </c>
      <c r="AU99" s="30">
        <f t="shared" si="28"/>
        <v>31628.19</v>
      </c>
      <c r="AV99" s="22">
        <v>0</v>
      </c>
      <c r="AW99" s="22">
        <v>0</v>
      </c>
      <c r="AX99" s="22">
        <v>0</v>
      </c>
      <c r="AY99" s="22">
        <v>10542.73</v>
      </c>
      <c r="AZ99" s="22">
        <v>0</v>
      </c>
      <c r="BA99" s="22">
        <v>0</v>
      </c>
      <c r="BB99" s="22">
        <f t="shared" si="29"/>
        <v>10542.73</v>
      </c>
      <c r="BC99" s="22">
        <v>0</v>
      </c>
      <c r="BD99" s="22">
        <v>0</v>
      </c>
      <c r="BE99" s="22">
        <v>0</v>
      </c>
      <c r="BF99" s="22">
        <v>10542.73</v>
      </c>
      <c r="BG99" s="22">
        <v>0</v>
      </c>
      <c r="BH99" s="22">
        <f t="shared" si="30"/>
        <v>10542.73</v>
      </c>
      <c r="BI99" s="22">
        <v>0</v>
      </c>
      <c r="BJ99" s="22">
        <v>0</v>
      </c>
      <c r="BK99" s="22">
        <v>0</v>
      </c>
      <c r="BL99" s="22">
        <v>10542.73</v>
      </c>
      <c r="BM99" s="22">
        <v>0</v>
      </c>
      <c r="BN99" s="22">
        <f t="shared" si="31"/>
        <v>10542.73</v>
      </c>
      <c r="BO99" s="22">
        <f t="shared" si="32"/>
        <v>31628.19</v>
      </c>
      <c r="BP99" s="22">
        <f t="shared" si="21"/>
        <v>94440.299999999974</v>
      </c>
      <c r="BQ99" s="22">
        <v>0</v>
      </c>
      <c r="BR99" s="22">
        <v>0</v>
      </c>
      <c r="BS99" s="22">
        <v>0</v>
      </c>
      <c r="BT99" s="22">
        <v>2635.68</v>
      </c>
      <c r="BU99" s="22">
        <v>0</v>
      </c>
      <c r="BV99" s="30">
        <f t="shared" si="33"/>
        <v>2635.68</v>
      </c>
      <c r="BW99" s="22">
        <v>0</v>
      </c>
      <c r="BX99" s="22">
        <v>0</v>
      </c>
      <c r="BY99" s="22">
        <v>0</v>
      </c>
      <c r="BZ99" s="22">
        <v>1799.2900000000006</v>
      </c>
      <c r="CA99" s="22">
        <v>0</v>
      </c>
      <c r="CB99" s="22">
        <f t="shared" si="34"/>
        <v>1799.2900000000006</v>
      </c>
      <c r="CC99" s="22">
        <v>0</v>
      </c>
      <c r="CD99" s="22">
        <v>0</v>
      </c>
      <c r="CE99" s="22">
        <v>0</v>
      </c>
      <c r="CF99" s="22">
        <v>1370.55</v>
      </c>
      <c r="CG99" s="22">
        <v>0</v>
      </c>
      <c r="CH99" s="30">
        <f t="shared" si="35"/>
        <v>1370.55</v>
      </c>
      <c r="CI99" s="30">
        <f t="shared" si="36"/>
        <v>5805.52</v>
      </c>
      <c r="CJ99" s="30">
        <f t="shared" si="37"/>
        <v>100245.82</v>
      </c>
    </row>
    <row r="100" spans="1:91">
      <c r="A100" s="27" t="s">
        <v>218</v>
      </c>
      <c r="B100" s="27" t="s">
        <v>219</v>
      </c>
      <c r="C100" s="28"/>
      <c r="D100" s="28">
        <v>0</v>
      </c>
      <c r="E100" s="28">
        <v>0</v>
      </c>
      <c r="F100" s="28">
        <v>0</v>
      </c>
      <c r="G100" s="28">
        <v>31504.68</v>
      </c>
      <c r="H100" s="28"/>
      <c r="I100" s="28">
        <f t="shared" si="22"/>
        <v>31504.68</v>
      </c>
      <c r="J100" s="28">
        <v>0</v>
      </c>
      <c r="K100" s="28">
        <v>0</v>
      </c>
      <c r="L100" s="28">
        <v>0</v>
      </c>
      <c r="M100" s="28">
        <v>31021.05</v>
      </c>
      <c r="N100" s="28">
        <v>0</v>
      </c>
      <c r="O100" s="29"/>
      <c r="P100" s="28">
        <f t="shared" si="23"/>
        <v>31021.05</v>
      </c>
      <c r="Q100" s="28">
        <v>0</v>
      </c>
      <c r="R100" s="28">
        <v>0</v>
      </c>
      <c r="S100" s="28">
        <v>0</v>
      </c>
      <c r="T100" s="28">
        <v>31114.86</v>
      </c>
      <c r="U100" s="28">
        <v>0</v>
      </c>
      <c r="V100" s="31"/>
      <c r="W100" s="28">
        <f t="shared" si="24"/>
        <v>31114.86</v>
      </c>
      <c r="X100" s="28">
        <f t="shared" si="25"/>
        <v>93640.59</v>
      </c>
      <c r="Y100" s="22">
        <v>0</v>
      </c>
      <c r="Z100" s="22">
        <v>0</v>
      </c>
      <c r="AA100" s="22">
        <v>0</v>
      </c>
      <c r="AB100" s="22">
        <v>31658.22</v>
      </c>
      <c r="AC100" s="22">
        <v>0</v>
      </c>
      <c r="AD100" s="22">
        <v>0</v>
      </c>
      <c r="AE100" s="30">
        <f t="shared" si="19"/>
        <v>31658.22</v>
      </c>
      <c r="AF100" s="30">
        <f t="shared" si="20"/>
        <v>125298.81</v>
      </c>
      <c r="AG100" s="22">
        <v>0</v>
      </c>
      <c r="AH100" s="22">
        <v>0</v>
      </c>
      <c r="AI100" s="22">
        <v>0</v>
      </c>
      <c r="AJ100" s="22">
        <v>31658.22</v>
      </c>
      <c r="AK100" s="22">
        <v>0</v>
      </c>
      <c r="AL100" s="22">
        <v>0</v>
      </c>
      <c r="AM100" s="30">
        <f t="shared" si="26"/>
        <v>31658.22</v>
      </c>
      <c r="AN100" s="22">
        <v>0</v>
      </c>
      <c r="AO100" s="22">
        <v>0</v>
      </c>
      <c r="AP100" s="22">
        <v>0</v>
      </c>
      <c r="AQ100" s="22">
        <v>31658.22</v>
      </c>
      <c r="AR100" s="22">
        <v>0</v>
      </c>
      <c r="AS100" s="22">
        <v>0</v>
      </c>
      <c r="AT100" s="30">
        <f t="shared" si="27"/>
        <v>31658.22</v>
      </c>
      <c r="AU100" s="30">
        <f t="shared" si="28"/>
        <v>94974.66</v>
      </c>
      <c r="AV100" s="22">
        <v>0</v>
      </c>
      <c r="AW100" s="22">
        <v>0</v>
      </c>
      <c r="AX100" s="22">
        <v>0</v>
      </c>
      <c r="AY100" s="22">
        <v>31658.22</v>
      </c>
      <c r="AZ100" s="22">
        <v>0</v>
      </c>
      <c r="BA100" s="22">
        <v>0</v>
      </c>
      <c r="BB100" s="22">
        <f t="shared" si="29"/>
        <v>31658.22</v>
      </c>
      <c r="BC100" s="22">
        <v>0</v>
      </c>
      <c r="BD100" s="22">
        <v>0</v>
      </c>
      <c r="BE100" s="22">
        <v>0</v>
      </c>
      <c r="BF100" s="22">
        <v>31658.22</v>
      </c>
      <c r="BG100" s="22">
        <v>0</v>
      </c>
      <c r="BH100" s="22">
        <f t="shared" si="30"/>
        <v>31658.22</v>
      </c>
      <c r="BI100" s="22">
        <v>0</v>
      </c>
      <c r="BJ100" s="22">
        <v>0</v>
      </c>
      <c r="BK100" s="22">
        <v>0</v>
      </c>
      <c r="BL100" s="22">
        <v>31658.22</v>
      </c>
      <c r="BM100" s="22">
        <v>0</v>
      </c>
      <c r="BN100" s="22">
        <f t="shared" si="31"/>
        <v>31658.22</v>
      </c>
      <c r="BO100" s="22">
        <f t="shared" si="32"/>
        <v>94974.66</v>
      </c>
      <c r="BP100" s="22">
        <f t="shared" si="21"/>
        <v>283589.91000000003</v>
      </c>
      <c r="BQ100" s="22">
        <v>0</v>
      </c>
      <c r="BR100" s="22">
        <v>0</v>
      </c>
      <c r="BS100" s="22">
        <v>0</v>
      </c>
      <c r="BT100" s="22">
        <v>7914.56</v>
      </c>
      <c r="BU100" s="22">
        <v>0</v>
      </c>
      <c r="BV100" s="30">
        <f t="shared" si="33"/>
        <v>7914.56</v>
      </c>
      <c r="BW100" s="22">
        <v>0</v>
      </c>
      <c r="BX100" s="22">
        <v>0</v>
      </c>
      <c r="BY100" s="22">
        <v>0</v>
      </c>
      <c r="BZ100" s="22">
        <v>5402.9699999999975</v>
      </c>
      <c r="CA100" s="22">
        <v>0</v>
      </c>
      <c r="CB100" s="22">
        <f t="shared" si="34"/>
        <v>5402.9699999999975</v>
      </c>
      <c r="CC100" s="22">
        <v>0</v>
      </c>
      <c r="CD100" s="22">
        <v>0</v>
      </c>
      <c r="CE100" s="22">
        <v>0</v>
      </c>
      <c r="CF100" s="22">
        <v>4115.57</v>
      </c>
      <c r="CG100" s="22">
        <v>0</v>
      </c>
      <c r="CH100" s="30">
        <f t="shared" si="35"/>
        <v>4115.57</v>
      </c>
      <c r="CI100" s="30">
        <f t="shared" si="36"/>
        <v>17433.099999999999</v>
      </c>
      <c r="CJ100" s="30">
        <f t="shared" si="37"/>
        <v>301023.01</v>
      </c>
    </row>
    <row r="101" spans="1:91">
      <c r="A101" s="27" t="s">
        <v>220</v>
      </c>
      <c r="B101" s="27" t="s">
        <v>221</v>
      </c>
      <c r="C101" s="28"/>
      <c r="D101" s="28">
        <v>0</v>
      </c>
      <c r="E101" s="28">
        <v>0</v>
      </c>
      <c r="F101" s="28">
        <v>0</v>
      </c>
      <c r="G101" s="28">
        <v>198761.08</v>
      </c>
      <c r="H101" s="28"/>
      <c r="I101" s="28">
        <f t="shared" si="22"/>
        <v>198761.08</v>
      </c>
      <c r="J101" s="28">
        <v>0</v>
      </c>
      <c r="K101" s="28">
        <v>0</v>
      </c>
      <c r="L101" s="28">
        <v>0</v>
      </c>
      <c r="M101" s="28">
        <v>195709.88</v>
      </c>
      <c r="N101" s="28">
        <v>0</v>
      </c>
      <c r="O101" s="29"/>
      <c r="P101" s="28">
        <f t="shared" si="23"/>
        <v>195709.88</v>
      </c>
      <c r="Q101" s="28">
        <v>0</v>
      </c>
      <c r="R101" s="28">
        <v>0</v>
      </c>
      <c r="S101" s="28">
        <v>0</v>
      </c>
      <c r="T101" s="28">
        <v>196301.7</v>
      </c>
      <c r="U101" s="28">
        <v>0</v>
      </c>
      <c r="V101" s="31"/>
      <c r="W101" s="28">
        <f t="shared" si="24"/>
        <v>196301.7</v>
      </c>
      <c r="X101" s="28">
        <f t="shared" si="25"/>
        <v>590772.65999999992</v>
      </c>
      <c r="Y101" s="22">
        <v>0</v>
      </c>
      <c r="Z101" s="22">
        <v>0</v>
      </c>
      <c r="AA101" s="22">
        <v>0</v>
      </c>
      <c r="AB101" s="22">
        <v>199729.74</v>
      </c>
      <c r="AC101" s="22">
        <v>0</v>
      </c>
      <c r="AD101" s="22">
        <v>88480</v>
      </c>
      <c r="AE101" s="30">
        <f t="shared" si="19"/>
        <v>288209.74</v>
      </c>
      <c r="AF101" s="30">
        <f t="shared" si="20"/>
        <v>878982.39999999991</v>
      </c>
      <c r="AG101" s="22">
        <v>0</v>
      </c>
      <c r="AH101" s="22">
        <v>0</v>
      </c>
      <c r="AI101" s="22">
        <v>0</v>
      </c>
      <c r="AJ101" s="22">
        <v>199729.74</v>
      </c>
      <c r="AK101" s="22">
        <v>0</v>
      </c>
      <c r="AL101" s="22">
        <v>117880</v>
      </c>
      <c r="AM101" s="30">
        <f t="shared" si="26"/>
        <v>317609.74</v>
      </c>
      <c r="AN101" s="22">
        <v>0</v>
      </c>
      <c r="AO101" s="22">
        <v>0</v>
      </c>
      <c r="AP101" s="22">
        <v>0</v>
      </c>
      <c r="AQ101" s="22">
        <v>199729.74</v>
      </c>
      <c r="AR101" s="22">
        <v>0</v>
      </c>
      <c r="AS101" s="22">
        <v>131880</v>
      </c>
      <c r="AT101" s="30">
        <f t="shared" si="27"/>
        <v>331609.74</v>
      </c>
      <c r="AU101" s="30">
        <f t="shared" si="28"/>
        <v>937429.22</v>
      </c>
      <c r="AV101" s="22">
        <v>0</v>
      </c>
      <c r="AW101" s="22">
        <v>0</v>
      </c>
      <c r="AX101" s="22">
        <v>0</v>
      </c>
      <c r="AY101" s="22">
        <v>199729.74</v>
      </c>
      <c r="AZ101" s="22">
        <v>0</v>
      </c>
      <c r="BA101" s="22">
        <v>122640</v>
      </c>
      <c r="BB101" s="22">
        <f t="shared" si="29"/>
        <v>322369.74</v>
      </c>
      <c r="BC101" s="22">
        <v>0</v>
      </c>
      <c r="BD101" s="22">
        <v>0</v>
      </c>
      <c r="BE101" s="22">
        <v>0</v>
      </c>
      <c r="BF101" s="22">
        <v>199729.74</v>
      </c>
      <c r="BG101" s="22">
        <v>0</v>
      </c>
      <c r="BH101" s="22">
        <f t="shared" si="30"/>
        <v>199729.74</v>
      </c>
      <c r="BI101" s="22">
        <v>0</v>
      </c>
      <c r="BJ101" s="22">
        <v>0</v>
      </c>
      <c r="BK101" s="22">
        <v>0</v>
      </c>
      <c r="BL101" s="22">
        <v>199729.74</v>
      </c>
      <c r="BM101" s="22">
        <v>0</v>
      </c>
      <c r="BN101" s="22">
        <f t="shared" si="31"/>
        <v>199729.74</v>
      </c>
      <c r="BO101" s="22">
        <f t="shared" si="32"/>
        <v>721829.22</v>
      </c>
      <c r="BP101" s="22">
        <f t="shared" si="21"/>
        <v>2250031.0999999996</v>
      </c>
      <c r="BQ101" s="22">
        <v>0</v>
      </c>
      <c r="BR101" s="22">
        <v>0</v>
      </c>
      <c r="BS101" s="22">
        <v>0</v>
      </c>
      <c r="BT101" s="22">
        <v>49932.44</v>
      </c>
      <c r="BU101" s="22">
        <v>0</v>
      </c>
      <c r="BV101" s="30">
        <f t="shared" si="33"/>
        <v>49932.44</v>
      </c>
      <c r="BW101" s="22">
        <v>0</v>
      </c>
      <c r="BX101" s="22">
        <v>0</v>
      </c>
      <c r="BY101" s="22">
        <v>0</v>
      </c>
      <c r="BZ101" s="22">
        <v>34087.06</v>
      </c>
      <c r="CA101" s="22">
        <v>0</v>
      </c>
      <c r="CB101" s="22">
        <f t="shared" si="34"/>
        <v>34087.06</v>
      </c>
      <c r="CC101" s="22">
        <v>0</v>
      </c>
      <c r="CD101" s="22">
        <v>0</v>
      </c>
      <c r="CE101" s="22">
        <v>0</v>
      </c>
      <c r="CF101" s="22">
        <v>25964.87</v>
      </c>
      <c r="CG101" s="22">
        <v>0</v>
      </c>
      <c r="CH101" s="30">
        <f t="shared" si="35"/>
        <v>25964.87</v>
      </c>
      <c r="CI101" s="30">
        <f t="shared" si="36"/>
        <v>109984.37</v>
      </c>
      <c r="CJ101" s="30">
        <f t="shared" si="37"/>
        <v>2360015.4699999997</v>
      </c>
    </row>
    <row r="102" spans="1:91">
      <c r="A102" s="27" t="s">
        <v>222</v>
      </c>
      <c r="B102" s="27" t="s">
        <v>223</v>
      </c>
      <c r="C102" s="28"/>
      <c r="D102" s="28">
        <v>12679.11</v>
      </c>
      <c r="E102" s="28">
        <v>0</v>
      </c>
      <c r="F102" s="28">
        <v>0</v>
      </c>
      <c r="G102" s="28">
        <v>212438.59</v>
      </c>
      <c r="H102" s="28"/>
      <c r="I102" s="28">
        <f t="shared" si="22"/>
        <v>225117.7</v>
      </c>
      <c r="J102" s="28">
        <v>12484.47</v>
      </c>
      <c r="K102" s="28">
        <v>0</v>
      </c>
      <c r="L102" s="28">
        <v>0</v>
      </c>
      <c r="M102" s="28">
        <v>209177.42</v>
      </c>
      <c r="N102" s="28">
        <v>0</v>
      </c>
      <c r="O102" s="29"/>
      <c r="P102" s="28">
        <f t="shared" si="23"/>
        <v>221661.89</v>
      </c>
      <c r="Q102" s="28">
        <v>12522.22</v>
      </c>
      <c r="R102" s="28">
        <v>0</v>
      </c>
      <c r="S102" s="28">
        <v>0</v>
      </c>
      <c r="T102" s="28">
        <v>209809.97</v>
      </c>
      <c r="U102" s="28">
        <v>0</v>
      </c>
      <c r="V102" s="31"/>
      <c r="W102" s="28">
        <f t="shared" si="24"/>
        <v>222332.19</v>
      </c>
      <c r="X102" s="28">
        <f t="shared" si="25"/>
        <v>669111.78</v>
      </c>
      <c r="Y102" s="22">
        <v>12246.12</v>
      </c>
      <c r="Z102" s="22">
        <v>0</v>
      </c>
      <c r="AA102" s="22">
        <v>0</v>
      </c>
      <c r="AB102" s="22">
        <v>213473.91</v>
      </c>
      <c r="AC102" s="22">
        <v>0</v>
      </c>
      <c r="AD102" s="22">
        <v>0</v>
      </c>
      <c r="AE102" s="30">
        <f t="shared" si="19"/>
        <v>225720.03</v>
      </c>
      <c r="AF102" s="30">
        <f t="shared" si="20"/>
        <v>894831.81</v>
      </c>
      <c r="AG102" s="22">
        <v>12246.12</v>
      </c>
      <c r="AH102" s="22">
        <v>0</v>
      </c>
      <c r="AI102" s="22">
        <v>0</v>
      </c>
      <c r="AJ102" s="22">
        <v>213473.91</v>
      </c>
      <c r="AK102" s="22">
        <v>0</v>
      </c>
      <c r="AL102" s="22">
        <v>0</v>
      </c>
      <c r="AM102" s="30">
        <f t="shared" si="26"/>
        <v>225720.03</v>
      </c>
      <c r="AN102" s="22">
        <v>12246.12</v>
      </c>
      <c r="AO102" s="22">
        <v>0</v>
      </c>
      <c r="AP102" s="22">
        <v>0</v>
      </c>
      <c r="AQ102" s="22">
        <v>213473.91</v>
      </c>
      <c r="AR102" s="22">
        <v>0</v>
      </c>
      <c r="AS102" s="22">
        <v>0</v>
      </c>
      <c r="AT102" s="30">
        <f t="shared" si="27"/>
        <v>225720.03</v>
      </c>
      <c r="AU102" s="30">
        <f t="shared" si="28"/>
        <v>677160.09</v>
      </c>
      <c r="AV102" s="22">
        <v>12246.12</v>
      </c>
      <c r="AW102" s="22">
        <v>0</v>
      </c>
      <c r="AX102" s="22">
        <v>0</v>
      </c>
      <c r="AY102" s="22">
        <v>213473.91</v>
      </c>
      <c r="AZ102" s="22">
        <v>0</v>
      </c>
      <c r="BA102" s="22">
        <v>0</v>
      </c>
      <c r="BB102" s="22">
        <f t="shared" si="29"/>
        <v>225720.03</v>
      </c>
      <c r="BC102" s="22">
        <v>12246.12</v>
      </c>
      <c r="BD102" s="22">
        <v>0</v>
      </c>
      <c r="BE102" s="22">
        <v>0</v>
      </c>
      <c r="BF102" s="22">
        <v>213473.91</v>
      </c>
      <c r="BG102" s="22">
        <v>0</v>
      </c>
      <c r="BH102" s="22">
        <f t="shared" si="30"/>
        <v>225720.03</v>
      </c>
      <c r="BI102" s="22">
        <v>12246.12</v>
      </c>
      <c r="BJ102" s="22">
        <v>0</v>
      </c>
      <c r="BK102" s="22">
        <v>0</v>
      </c>
      <c r="BL102" s="22">
        <v>213473.91</v>
      </c>
      <c r="BM102" s="22">
        <v>0</v>
      </c>
      <c r="BN102" s="22">
        <f t="shared" si="31"/>
        <v>225720.03</v>
      </c>
      <c r="BO102" s="22">
        <f t="shared" si="32"/>
        <v>677160.09</v>
      </c>
      <c r="BP102" s="22">
        <f t="shared" si="21"/>
        <v>2023431.9600000002</v>
      </c>
      <c r="BQ102" s="22">
        <v>3038.96</v>
      </c>
      <c r="BR102" s="22">
        <v>0</v>
      </c>
      <c r="BS102" s="22">
        <v>0</v>
      </c>
      <c r="BT102" s="22">
        <v>53368.480000000003</v>
      </c>
      <c r="BU102" s="22">
        <v>0</v>
      </c>
      <c r="BV102" s="30">
        <f t="shared" si="33"/>
        <v>56407.44</v>
      </c>
      <c r="BW102" s="22">
        <v>2074.59</v>
      </c>
      <c r="BX102" s="22">
        <v>0</v>
      </c>
      <c r="BY102" s="22">
        <v>0</v>
      </c>
      <c r="BZ102" s="22">
        <v>36432.730000000003</v>
      </c>
      <c r="CA102" s="22">
        <v>0</v>
      </c>
      <c r="CB102" s="22">
        <f t="shared" si="34"/>
        <v>38507.320000000007</v>
      </c>
      <c r="CC102" s="22">
        <v>1580.26</v>
      </c>
      <c r="CD102" s="22">
        <v>0</v>
      </c>
      <c r="CE102" s="22">
        <v>0</v>
      </c>
      <c r="CF102" s="22">
        <v>27751.61</v>
      </c>
      <c r="CG102" s="22">
        <v>0</v>
      </c>
      <c r="CH102" s="30">
        <f t="shared" si="35"/>
        <v>29331.87</v>
      </c>
      <c r="CI102" s="30">
        <f t="shared" si="36"/>
        <v>124246.63</v>
      </c>
      <c r="CJ102" s="30">
        <f t="shared" si="37"/>
        <v>2147678.59</v>
      </c>
    </row>
    <row r="103" spans="1:91">
      <c r="A103" s="27" t="s">
        <v>224</v>
      </c>
      <c r="B103" s="27" t="s">
        <v>225</v>
      </c>
      <c r="C103" s="28"/>
      <c r="D103" s="28">
        <v>0</v>
      </c>
      <c r="E103" s="28">
        <v>0</v>
      </c>
      <c r="F103" s="28">
        <v>0</v>
      </c>
      <c r="G103" s="28">
        <v>27927.09</v>
      </c>
      <c r="H103" s="28"/>
      <c r="I103" s="28">
        <f t="shared" si="22"/>
        <v>27927.09</v>
      </c>
      <c r="J103" s="28">
        <v>0</v>
      </c>
      <c r="K103" s="28">
        <v>0</v>
      </c>
      <c r="L103" s="28">
        <v>0</v>
      </c>
      <c r="M103" s="28">
        <v>27498.38</v>
      </c>
      <c r="N103" s="28">
        <v>0</v>
      </c>
      <c r="O103" s="29"/>
      <c r="P103" s="28">
        <f t="shared" si="23"/>
        <v>27498.38</v>
      </c>
      <c r="Q103" s="28">
        <v>0</v>
      </c>
      <c r="R103" s="28">
        <v>0</v>
      </c>
      <c r="S103" s="28">
        <v>0</v>
      </c>
      <c r="T103" s="28">
        <v>27581.53</v>
      </c>
      <c r="U103" s="28">
        <v>0</v>
      </c>
      <c r="V103" s="31"/>
      <c r="W103" s="28">
        <f t="shared" si="24"/>
        <v>27581.53</v>
      </c>
      <c r="X103" s="28">
        <f t="shared" si="25"/>
        <v>83007</v>
      </c>
      <c r="Y103" s="22">
        <v>0</v>
      </c>
      <c r="Z103" s="22">
        <v>0</v>
      </c>
      <c r="AA103" s="22">
        <v>0</v>
      </c>
      <c r="AB103" s="22">
        <v>28063.19</v>
      </c>
      <c r="AC103" s="22">
        <v>0</v>
      </c>
      <c r="AD103" s="22">
        <v>0</v>
      </c>
      <c r="AE103" s="30">
        <f t="shared" si="19"/>
        <v>28063.19</v>
      </c>
      <c r="AF103" s="30">
        <f t="shared" si="20"/>
        <v>111070.19</v>
      </c>
      <c r="AG103" s="22">
        <v>0</v>
      </c>
      <c r="AH103" s="22">
        <v>0</v>
      </c>
      <c r="AI103" s="22">
        <v>0</v>
      </c>
      <c r="AJ103" s="22">
        <v>28063.19</v>
      </c>
      <c r="AK103" s="22">
        <v>0</v>
      </c>
      <c r="AL103" s="22">
        <v>0</v>
      </c>
      <c r="AM103" s="30">
        <f t="shared" si="26"/>
        <v>28063.19</v>
      </c>
      <c r="AN103" s="22">
        <v>0</v>
      </c>
      <c r="AO103" s="22">
        <v>0</v>
      </c>
      <c r="AP103" s="22">
        <v>0</v>
      </c>
      <c r="AQ103" s="22">
        <v>29643.519999999997</v>
      </c>
      <c r="AR103" s="22">
        <v>0</v>
      </c>
      <c r="AS103" s="22">
        <v>0</v>
      </c>
      <c r="AT103" s="30">
        <f t="shared" si="27"/>
        <v>29643.519999999997</v>
      </c>
      <c r="AU103" s="30">
        <f t="shared" si="28"/>
        <v>85769.9</v>
      </c>
      <c r="AV103" s="22">
        <v>0</v>
      </c>
      <c r="AW103" s="22">
        <v>0</v>
      </c>
      <c r="AX103" s="22">
        <v>0</v>
      </c>
      <c r="AY103" s="22">
        <f>28063.19+2005.54</f>
        <v>30068.73</v>
      </c>
      <c r="AZ103" s="22">
        <v>0</v>
      </c>
      <c r="BA103" s="22">
        <v>0</v>
      </c>
      <c r="BB103" s="22">
        <f t="shared" si="29"/>
        <v>30068.73</v>
      </c>
      <c r="BC103" s="22">
        <v>0</v>
      </c>
      <c r="BD103" s="22">
        <v>0</v>
      </c>
      <c r="BE103" s="22">
        <v>0</v>
      </c>
      <c r="BF103" s="22">
        <f>28063.19+2005.54</f>
        <v>30068.73</v>
      </c>
      <c r="BG103" s="22">
        <v>0</v>
      </c>
      <c r="BH103" s="22">
        <f t="shared" si="30"/>
        <v>30068.73</v>
      </c>
      <c r="BI103" s="22">
        <v>0</v>
      </c>
      <c r="BJ103" s="22">
        <v>0</v>
      </c>
      <c r="BK103" s="22">
        <v>0</v>
      </c>
      <c r="BL103" s="22">
        <v>28063.19</v>
      </c>
      <c r="BM103" s="22">
        <v>0</v>
      </c>
      <c r="BN103" s="22">
        <f t="shared" si="31"/>
        <v>28063.19</v>
      </c>
      <c r="BO103" s="22">
        <f t="shared" si="32"/>
        <v>88200.65</v>
      </c>
      <c r="BP103" s="22">
        <f t="shared" si="21"/>
        <v>256977.55000000002</v>
      </c>
      <c r="BQ103" s="22">
        <v>0</v>
      </c>
      <c r="BR103" s="22">
        <v>0</v>
      </c>
      <c r="BS103" s="22">
        <v>0</v>
      </c>
      <c r="BT103" s="22">
        <v>7015.8</v>
      </c>
      <c r="BU103" s="22">
        <v>0</v>
      </c>
      <c r="BV103" s="30">
        <f t="shared" si="33"/>
        <v>7015.8</v>
      </c>
      <c r="BW103" s="22">
        <v>0</v>
      </c>
      <c r="BX103" s="22">
        <v>0</v>
      </c>
      <c r="BY103" s="22">
        <v>0</v>
      </c>
      <c r="BZ103" s="22">
        <v>4789.4299999999994</v>
      </c>
      <c r="CA103" s="22">
        <v>0</v>
      </c>
      <c r="CB103" s="22">
        <f t="shared" si="34"/>
        <v>4789.4299999999994</v>
      </c>
      <c r="CC103" s="22">
        <v>0</v>
      </c>
      <c r="CD103" s="22">
        <v>0</v>
      </c>
      <c r="CE103" s="22">
        <v>0</v>
      </c>
      <c r="CF103" s="22">
        <v>3648.21</v>
      </c>
      <c r="CG103" s="22">
        <v>0</v>
      </c>
      <c r="CH103" s="30">
        <f t="shared" si="35"/>
        <v>3648.21</v>
      </c>
      <c r="CI103" s="30">
        <f t="shared" si="36"/>
        <v>15453.439999999999</v>
      </c>
      <c r="CJ103" s="30">
        <f t="shared" si="37"/>
        <v>272430.99</v>
      </c>
    </row>
    <row r="104" spans="1:91">
      <c r="A104" s="27" t="s">
        <v>226</v>
      </c>
      <c r="B104" s="27" t="s">
        <v>227</v>
      </c>
      <c r="C104" s="28"/>
      <c r="D104" s="28">
        <v>0</v>
      </c>
      <c r="E104" s="28">
        <v>0</v>
      </c>
      <c r="F104" s="28">
        <v>0</v>
      </c>
      <c r="G104" s="28">
        <v>121403.59</v>
      </c>
      <c r="H104" s="28"/>
      <c r="I104" s="28">
        <f t="shared" si="22"/>
        <v>121403.59</v>
      </c>
      <c r="J104" s="28">
        <v>0</v>
      </c>
      <c r="K104" s="28">
        <v>0</v>
      </c>
      <c r="L104" s="28">
        <v>0</v>
      </c>
      <c r="M104" s="28">
        <v>119539.91</v>
      </c>
      <c r="N104" s="28">
        <v>0</v>
      </c>
      <c r="O104" s="29"/>
      <c r="P104" s="28">
        <f t="shared" si="23"/>
        <v>119539.91</v>
      </c>
      <c r="Q104" s="28">
        <v>0</v>
      </c>
      <c r="R104" s="28">
        <v>0</v>
      </c>
      <c r="S104" s="28">
        <v>0</v>
      </c>
      <c r="T104" s="28">
        <v>119901.39</v>
      </c>
      <c r="U104" s="28">
        <v>0</v>
      </c>
      <c r="V104" s="31"/>
      <c r="W104" s="28">
        <f t="shared" si="24"/>
        <v>119901.39</v>
      </c>
      <c r="X104" s="28">
        <f t="shared" si="25"/>
        <v>360844.89</v>
      </c>
      <c r="Y104" s="22">
        <v>0</v>
      </c>
      <c r="Z104" s="22">
        <v>0</v>
      </c>
      <c r="AA104" s="22">
        <v>0</v>
      </c>
      <c r="AB104" s="22">
        <v>121995.25</v>
      </c>
      <c r="AC104" s="22">
        <v>0</v>
      </c>
      <c r="AD104" s="22">
        <v>0</v>
      </c>
      <c r="AE104" s="30">
        <f t="shared" si="19"/>
        <v>121995.25</v>
      </c>
      <c r="AF104" s="30">
        <f t="shared" si="20"/>
        <v>482840.14</v>
      </c>
      <c r="AG104" s="22">
        <v>0</v>
      </c>
      <c r="AH104" s="22">
        <v>0</v>
      </c>
      <c r="AI104" s="22">
        <v>0</v>
      </c>
      <c r="AJ104" s="22">
        <v>121995.25</v>
      </c>
      <c r="AK104" s="22">
        <v>0</v>
      </c>
      <c r="AL104" s="22">
        <v>0</v>
      </c>
      <c r="AM104" s="30">
        <f t="shared" si="26"/>
        <v>121995.25</v>
      </c>
      <c r="AN104" s="22">
        <v>0</v>
      </c>
      <c r="AO104" s="22">
        <v>0</v>
      </c>
      <c r="AP104" s="22">
        <v>0</v>
      </c>
      <c r="AQ104" s="22">
        <v>121995.25</v>
      </c>
      <c r="AR104" s="22">
        <v>0</v>
      </c>
      <c r="AS104" s="22">
        <v>0</v>
      </c>
      <c r="AT104" s="30">
        <f t="shared" si="27"/>
        <v>121995.25</v>
      </c>
      <c r="AU104" s="30">
        <f t="shared" si="28"/>
        <v>365985.75</v>
      </c>
      <c r="AV104" s="22">
        <v>0</v>
      </c>
      <c r="AW104" s="22">
        <v>0</v>
      </c>
      <c r="AX104" s="22">
        <v>0</v>
      </c>
      <c r="AY104" s="22">
        <v>121995.25</v>
      </c>
      <c r="AZ104" s="22">
        <v>0</v>
      </c>
      <c r="BA104" s="22">
        <v>0</v>
      </c>
      <c r="BB104" s="22">
        <f t="shared" si="29"/>
        <v>121995.25</v>
      </c>
      <c r="BC104" s="22">
        <v>0</v>
      </c>
      <c r="BD104" s="22">
        <v>0</v>
      </c>
      <c r="BE104" s="22">
        <v>0</v>
      </c>
      <c r="BF104" s="22">
        <v>121995.25</v>
      </c>
      <c r="BG104" s="22">
        <v>0</v>
      </c>
      <c r="BH104" s="22">
        <f t="shared" si="30"/>
        <v>121995.25</v>
      </c>
      <c r="BI104" s="22">
        <v>0</v>
      </c>
      <c r="BJ104" s="22">
        <v>0</v>
      </c>
      <c r="BK104" s="22">
        <v>0</v>
      </c>
      <c r="BL104" s="22">
        <v>121995.25</v>
      </c>
      <c r="BM104" s="22">
        <v>0</v>
      </c>
      <c r="BN104" s="22">
        <f t="shared" si="31"/>
        <v>121995.25</v>
      </c>
      <c r="BO104" s="22">
        <f t="shared" si="32"/>
        <v>365985.75</v>
      </c>
      <c r="BP104" s="22">
        <f t="shared" si="21"/>
        <v>1092816.3900000001</v>
      </c>
      <c r="BQ104" s="22">
        <v>0</v>
      </c>
      <c r="BR104" s="22">
        <v>0</v>
      </c>
      <c r="BS104" s="22">
        <v>0</v>
      </c>
      <c r="BT104" s="22">
        <v>30498.81</v>
      </c>
      <c r="BU104" s="22">
        <v>0</v>
      </c>
      <c r="BV104" s="30">
        <f t="shared" si="33"/>
        <v>30498.81</v>
      </c>
      <c r="BW104" s="22">
        <v>0</v>
      </c>
      <c r="BX104" s="22">
        <v>0</v>
      </c>
      <c r="BY104" s="22">
        <v>0</v>
      </c>
      <c r="BZ104" s="22">
        <v>20820.44000000001</v>
      </c>
      <c r="CA104" s="22">
        <v>0</v>
      </c>
      <c r="CB104" s="22">
        <f t="shared" si="34"/>
        <v>20820.44000000001</v>
      </c>
      <c r="CC104" s="22">
        <v>0</v>
      </c>
      <c r="CD104" s="22">
        <v>0</v>
      </c>
      <c r="CE104" s="22">
        <v>0</v>
      </c>
      <c r="CF104" s="22">
        <v>15859.38</v>
      </c>
      <c r="CG104" s="22">
        <v>0</v>
      </c>
      <c r="CH104" s="30">
        <f t="shared" si="35"/>
        <v>15859.38</v>
      </c>
      <c r="CI104" s="30">
        <f t="shared" si="36"/>
        <v>67178.630000000019</v>
      </c>
      <c r="CJ104" s="30">
        <f t="shared" si="37"/>
        <v>1159995.0200000003</v>
      </c>
    </row>
    <row r="105" spans="1:91">
      <c r="A105" s="27" t="s">
        <v>228</v>
      </c>
      <c r="B105" s="27" t="s">
        <v>229</v>
      </c>
      <c r="C105" s="28"/>
      <c r="D105" s="28">
        <v>0</v>
      </c>
      <c r="E105" s="28">
        <v>0</v>
      </c>
      <c r="F105" s="28">
        <v>0</v>
      </c>
      <c r="G105" s="28">
        <v>16183.43</v>
      </c>
      <c r="H105" s="28"/>
      <c r="I105" s="28">
        <f t="shared" si="22"/>
        <v>16183.43</v>
      </c>
      <c r="J105" s="28">
        <v>0</v>
      </c>
      <c r="K105" s="28">
        <v>0</v>
      </c>
      <c r="L105" s="28">
        <v>0</v>
      </c>
      <c r="M105" s="28">
        <v>15935</v>
      </c>
      <c r="N105" s="28">
        <v>0</v>
      </c>
      <c r="O105" s="29"/>
      <c r="P105" s="28">
        <f t="shared" si="23"/>
        <v>15935</v>
      </c>
      <c r="Q105" s="28">
        <v>0</v>
      </c>
      <c r="R105" s="28">
        <v>0</v>
      </c>
      <c r="S105" s="28">
        <v>0</v>
      </c>
      <c r="T105" s="28">
        <v>15983.18</v>
      </c>
      <c r="U105" s="28">
        <v>0</v>
      </c>
      <c r="V105" s="31"/>
      <c r="W105" s="28">
        <f t="shared" si="24"/>
        <v>15983.18</v>
      </c>
      <c r="X105" s="28">
        <f t="shared" si="25"/>
        <v>48101.61</v>
      </c>
      <c r="Y105" s="22">
        <v>0</v>
      </c>
      <c r="Z105" s="22">
        <v>0</v>
      </c>
      <c r="AA105" s="22">
        <v>0</v>
      </c>
      <c r="AB105" s="22">
        <v>16262.3</v>
      </c>
      <c r="AC105" s="22">
        <v>0</v>
      </c>
      <c r="AD105" s="22">
        <v>0</v>
      </c>
      <c r="AE105" s="30">
        <f t="shared" si="19"/>
        <v>16262.3</v>
      </c>
      <c r="AF105" s="30">
        <f t="shared" si="20"/>
        <v>64363.91</v>
      </c>
      <c r="AG105" s="22">
        <v>0</v>
      </c>
      <c r="AH105" s="22">
        <v>0</v>
      </c>
      <c r="AI105" s="22">
        <v>0</v>
      </c>
      <c r="AJ105" s="22">
        <v>16262.3</v>
      </c>
      <c r="AK105" s="22">
        <v>0</v>
      </c>
      <c r="AL105" s="22">
        <v>0</v>
      </c>
      <c r="AM105" s="30">
        <f t="shared" si="26"/>
        <v>16262.3</v>
      </c>
      <c r="AN105" s="22">
        <v>0</v>
      </c>
      <c r="AO105" s="22">
        <v>0</v>
      </c>
      <c r="AP105" s="22">
        <v>0</v>
      </c>
      <c r="AQ105" s="22">
        <v>16262.3</v>
      </c>
      <c r="AR105" s="22">
        <v>0</v>
      </c>
      <c r="AS105" s="22">
        <v>0</v>
      </c>
      <c r="AT105" s="30">
        <f t="shared" si="27"/>
        <v>16262.3</v>
      </c>
      <c r="AU105" s="30">
        <f t="shared" si="28"/>
        <v>48786.899999999994</v>
      </c>
      <c r="AV105" s="22">
        <v>0</v>
      </c>
      <c r="AW105" s="22">
        <v>0</v>
      </c>
      <c r="AX105" s="22">
        <v>0</v>
      </c>
      <c r="AY105" s="22">
        <v>16262.3</v>
      </c>
      <c r="AZ105" s="22">
        <v>0</v>
      </c>
      <c r="BA105" s="22">
        <v>0</v>
      </c>
      <c r="BB105" s="22">
        <f t="shared" si="29"/>
        <v>16262.3</v>
      </c>
      <c r="BC105" s="22">
        <v>0</v>
      </c>
      <c r="BD105" s="22">
        <v>0</v>
      </c>
      <c r="BE105" s="22">
        <v>0</v>
      </c>
      <c r="BF105" s="22">
        <v>16262.3</v>
      </c>
      <c r="BG105" s="22">
        <v>0</v>
      </c>
      <c r="BH105" s="22">
        <f t="shared" si="30"/>
        <v>16262.3</v>
      </c>
      <c r="BI105" s="22">
        <v>0</v>
      </c>
      <c r="BJ105" s="22">
        <v>0</v>
      </c>
      <c r="BK105" s="22">
        <v>0</v>
      </c>
      <c r="BL105" s="22">
        <v>16262.3</v>
      </c>
      <c r="BM105" s="22">
        <v>0</v>
      </c>
      <c r="BN105" s="22">
        <f t="shared" si="31"/>
        <v>16262.3</v>
      </c>
      <c r="BO105" s="22">
        <f t="shared" si="32"/>
        <v>48786.899999999994</v>
      </c>
      <c r="BP105" s="22">
        <f t="shared" si="21"/>
        <v>145675.41</v>
      </c>
      <c r="BQ105" s="22">
        <v>0</v>
      </c>
      <c r="BR105" s="22">
        <v>0</v>
      </c>
      <c r="BS105" s="22">
        <v>0</v>
      </c>
      <c r="BT105" s="22">
        <v>4065.58</v>
      </c>
      <c r="BU105" s="22">
        <v>0</v>
      </c>
      <c r="BV105" s="30">
        <f t="shared" si="33"/>
        <v>4065.58</v>
      </c>
      <c r="BW105" s="22">
        <v>0</v>
      </c>
      <c r="BX105" s="22">
        <v>0</v>
      </c>
      <c r="BY105" s="22">
        <v>0</v>
      </c>
      <c r="BZ105" s="22">
        <v>2775.4200000000005</v>
      </c>
      <c r="CA105" s="22">
        <v>0</v>
      </c>
      <c r="CB105" s="22">
        <f t="shared" si="34"/>
        <v>2775.4200000000005</v>
      </c>
      <c r="CC105" s="22">
        <v>0</v>
      </c>
      <c r="CD105" s="22">
        <v>0</v>
      </c>
      <c r="CE105" s="22">
        <v>0</v>
      </c>
      <c r="CF105" s="22">
        <v>2114.1</v>
      </c>
      <c r="CG105" s="22">
        <v>0</v>
      </c>
      <c r="CH105" s="30">
        <f t="shared" si="35"/>
        <v>2114.1</v>
      </c>
      <c r="CI105" s="30">
        <f t="shared" si="36"/>
        <v>8955.1</v>
      </c>
      <c r="CJ105" s="30">
        <f t="shared" si="37"/>
        <v>154630.50999999998</v>
      </c>
    </row>
    <row r="106" spans="1:91">
      <c r="A106" s="27" t="s">
        <v>230</v>
      </c>
      <c r="B106" s="27" t="s">
        <v>231</v>
      </c>
      <c r="C106" s="28"/>
      <c r="D106" s="28">
        <v>0</v>
      </c>
      <c r="E106" s="28">
        <v>21149.73</v>
      </c>
      <c r="F106" s="28">
        <v>62527.27</v>
      </c>
      <c r="G106" s="28">
        <v>120081.73</v>
      </c>
      <c r="H106" s="28"/>
      <c r="I106" s="28">
        <f t="shared" si="22"/>
        <v>203758.72999999998</v>
      </c>
      <c r="J106" s="28">
        <v>0</v>
      </c>
      <c r="K106" s="28">
        <v>20825.060000000001</v>
      </c>
      <c r="L106" s="28">
        <v>61567.41</v>
      </c>
      <c r="M106" s="28">
        <v>118238.3</v>
      </c>
      <c r="N106" s="28">
        <v>0</v>
      </c>
      <c r="O106" s="29"/>
      <c r="P106" s="28">
        <f t="shared" si="23"/>
        <v>200630.77000000002</v>
      </c>
      <c r="Q106" s="28">
        <v>0</v>
      </c>
      <c r="R106" s="28">
        <v>20888.03</v>
      </c>
      <c r="S106" s="28">
        <v>61753.59</v>
      </c>
      <c r="T106" s="28">
        <v>118595.85</v>
      </c>
      <c r="U106" s="28">
        <v>0</v>
      </c>
      <c r="V106" s="31"/>
      <c r="W106" s="28">
        <f t="shared" si="24"/>
        <v>201237.47</v>
      </c>
      <c r="X106" s="28">
        <f t="shared" si="25"/>
        <v>605626.97</v>
      </c>
      <c r="Y106" s="22">
        <v>0</v>
      </c>
      <c r="Z106" s="22">
        <v>21770.93</v>
      </c>
      <c r="AA106" s="22">
        <v>62832</v>
      </c>
      <c r="AB106" s="22">
        <v>120666.95</v>
      </c>
      <c r="AC106" s="22">
        <v>0</v>
      </c>
      <c r="AD106" s="22">
        <v>0</v>
      </c>
      <c r="AE106" s="30">
        <f t="shared" si="19"/>
        <v>205269.88</v>
      </c>
      <c r="AF106" s="30">
        <f t="shared" si="20"/>
        <v>810896.85</v>
      </c>
      <c r="AG106" s="22">
        <v>0</v>
      </c>
      <c r="AH106" s="22">
        <v>21770.93</v>
      </c>
      <c r="AI106" s="22">
        <v>62832</v>
      </c>
      <c r="AJ106" s="22">
        <v>120666.95</v>
      </c>
      <c r="AK106" s="22">
        <v>0</v>
      </c>
      <c r="AL106" s="22">
        <v>0</v>
      </c>
      <c r="AM106" s="30">
        <f t="shared" si="26"/>
        <v>205269.88</v>
      </c>
      <c r="AN106" s="22">
        <v>0</v>
      </c>
      <c r="AO106" s="22">
        <v>21770.93</v>
      </c>
      <c r="AP106" s="22">
        <v>62832</v>
      </c>
      <c r="AQ106" s="22">
        <v>120666.95</v>
      </c>
      <c r="AR106" s="22">
        <v>0</v>
      </c>
      <c r="AS106" s="22">
        <v>0</v>
      </c>
      <c r="AT106" s="30">
        <f t="shared" si="27"/>
        <v>205269.88</v>
      </c>
      <c r="AU106" s="30">
        <f t="shared" si="28"/>
        <v>615809.64</v>
      </c>
      <c r="AV106" s="22">
        <v>0</v>
      </c>
      <c r="AW106" s="22">
        <v>21770.93</v>
      </c>
      <c r="AX106" s="22">
        <v>62832</v>
      </c>
      <c r="AY106" s="22">
        <v>120666.95</v>
      </c>
      <c r="AZ106" s="22">
        <v>0</v>
      </c>
      <c r="BA106" s="22">
        <v>0</v>
      </c>
      <c r="BB106" s="22">
        <f t="shared" si="29"/>
        <v>205269.88</v>
      </c>
      <c r="BC106" s="22">
        <v>0</v>
      </c>
      <c r="BD106" s="22">
        <v>21770.93</v>
      </c>
      <c r="BE106" s="22">
        <v>62832</v>
      </c>
      <c r="BF106" s="22">
        <v>120666.95</v>
      </c>
      <c r="BG106" s="22">
        <v>0</v>
      </c>
      <c r="BH106" s="22">
        <f t="shared" si="30"/>
        <v>205269.88</v>
      </c>
      <c r="BI106" s="22">
        <v>0</v>
      </c>
      <c r="BJ106" s="22">
        <v>21770.93</v>
      </c>
      <c r="BK106" s="22">
        <v>62832</v>
      </c>
      <c r="BL106" s="22">
        <v>120666.95</v>
      </c>
      <c r="BM106" s="22">
        <v>0</v>
      </c>
      <c r="BN106" s="22">
        <f t="shared" si="31"/>
        <v>205269.88</v>
      </c>
      <c r="BO106" s="22">
        <f t="shared" si="32"/>
        <v>615809.64</v>
      </c>
      <c r="BP106" s="22">
        <f t="shared" si="21"/>
        <v>1837246.2499999995</v>
      </c>
      <c r="BQ106" s="22">
        <v>0</v>
      </c>
      <c r="BR106" s="22">
        <v>5442.73</v>
      </c>
      <c r="BS106" s="22">
        <v>15708</v>
      </c>
      <c r="BT106" s="22">
        <v>30166.74</v>
      </c>
      <c r="BU106" s="22">
        <v>0</v>
      </c>
      <c r="BV106" s="30">
        <f t="shared" si="33"/>
        <v>51317.47</v>
      </c>
      <c r="BW106" s="22">
        <v>0</v>
      </c>
      <c r="BX106" s="22">
        <v>3715.5600000000009</v>
      </c>
      <c r="BY106" s="22">
        <v>10723.280000000002</v>
      </c>
      <c r="BZ106" s="22">
        <v>20593.739999999987</v>
      </c>
      <c r="CA106" s="22">
        <v>0</v>
      </c>
      <c r="CB106" s="22">
        <f t="shared" si="34"/>
        <v>35032.579999999987</v>
      </c>
      <c r="CC106" s="22">
        <v>0</v>
      </c>
      <c r="CD106" s="22">
        <v>2830.22</v>
      </c>
      <c r="CE106" s="22">
        <v>8168.16</v>
      </c>
      <c r="CF106" s="22">
        <v>15686.7</v>
      </c>
      <c r="CG106" s="22">
        <v>0</v>
      </c>
      <c r="CH106" s="30">
        <f t="shared" si="35"/>
        <v>26685.08</v>
      </c>
      <c r="CI106" s="30">
        <f t="shared" si="36"/>
        <v>113035.12999999999</v>
      </c>
      <c r="CJ106" s="30">
        <f t="shared" si="37"/>
        <v>1950281.38</v>
      </c>
    </row>
    <row r="107" spans="1:91">
      <c r="A107" s="27" t="s">
        <v>232</v>
      </c>
      <c r="B107" s="27" t="s">
        <v>233</v>
      </c>
      <c r="C107" s="28"/>
      <c r="D107" s="28">
        <v>0</v>
      </c>
      <c r="E107" s="28">
        <v>0</v>
      </c>
      <c r="F107" s="28">
        <v>0</v>
      </c>
      <c r="G107" s="28">
        <v>40024.07</v>
      </c>
      <c r="H107" s="28"/>
      <c r="I107" s="28">
        <f t="shared" si="22"/>
        <v>40024.07</v>
      </c>
      <c r="J107" s="28">
        <v>0</v>
      </c>
      <c r="K107" s="28">
        <v>0</v>
      </c>
      <c r="L107" s="28">
        <v>0</v>
      </c>
      <c r="M107" s="28">
        <v>39409.660000000003</v>
      </c>
      <c r="N107" s="28">
        <v>0</v>
      </c>
      <c r="O107" s="29"/>
      <c r="P107" s="28">
        <f t="shared" si="23"/>
        <v>39409.660000000003</v>
      </c>
      <c r="Q107" s="28">
        <v>0</v>
      </c>
      <c r="R107" s="28">
        <v>0</v>
      </c>
      <c r="S107" s="28">
        <v>0</v>
      </c>
      <c r="T107" s="28">
        <v>39528.83</v>
      </c>
      <c r="U107" s="28">
        <v>0</v>
      </c>
      <c r="V107" s="31"/>
      <c r="W107" s="28">
        <f t="shared" si="24"/>
        <v>39528.83</v>
      </c>
      <c r="X107" s="28">
        <f t="shared" si="25"/>
        <v>118962.56000000001</v>
      </c>
      <c r="Y107" s="22">
        <v>0</v>
      </c>
      <c r="Z107" s="22">
        <v>0</v>
      </c>
      <c r="AA107" s="22">
        <v>0</v>
      </c>
      <c r="AB107" s="22">
        <v>40219.129999999997</v>
      </c>
      <c r="AC107" s="22">
        <v>0</v>
      </c>
      <c r="AD107" s="22">
        <v>8400</v>
      </c>
      <c r="AE107" s="30">
        <f t="shared" si="19"/>
        <v>48619.13</v>
      </c>
      <c r="AF107" s="30">
        <f t="shared" si="20"/>
        <v>167581.69</v>
      </c>
      <c r="AG107" s="22">
        <v>0</v>
      </c>
      <c r="AH107" s="22">
        <v>0</v>
      </c>
      <c r="AI107" s="22">
        <v>0</v>
      </c>
      <c r="AJ107" s="22">
        <v>40219.129999999997</v>
      </c>
      <c r="AK107" s="22">
        <v>0</v>
      </c>
      <c r="AL107" s="22">
        <v>12040</v>
      </c>
      <c r="AM107" s="30">
        <f t="shared" si="26"/>
        <v>52259.13</v>
      </c>
      <c r="AN107" s="22">
        <v>0</v>
      </c>
      <c r="AO107" s="22">
        <v>0</v>
      </c>
      <c r="AP107" s="22">
        <v>0</v>
      </c>
      <c r="AQ107" s="22">
        <v>40219.129999999997</v>
      </c>
      <c r="AR107" s="22">
        <v>0</v>
      </c>
      <c r="AS107" s="31">
        <v>10920</v>
      </c>
      <c r="AT107" s="30">
        <f t="shared" si="27"/>
        <v>51139.13</v>
      </c>
      <c r="AU107" s="30">
        <f t="shared" si="28"/>
        <v>152017.38999999998</v>
      </c>
      <c r="AV107" s="22">
        <v>0</v>
      </c>
      <c r="AW107" s="22">
        <v>0</v>
      </c>
      <c r="AX107" s="22">
        <v>0</v>
      </c>
      <c r="AY107" s="22">
        <v>40219.129999999997</v>
      </c>
      <c r="AZ107" s="22">
        <v>0</v>
      </c>
      <c r="BA107" s="22">
        <v>5880</v>
      </c>
      <c r="BB107" s="22">
        <f t="shared" si="29"/>
        <v>46099.13</v>
      </c>
      <c r="BC107" s="22">
        <v>0</v>
      </c>
      <c r="BD107" s="22">
        <v>0</v>
      </c>
      <c r="BE107" s="22">
        <v>0</v>
      </c>
      <c r="BF107" s="22">
        <v>40219.129999999997</v>
      </c>
      <c r="BG107" s="22">
        <v>0</v>
      </c>
      <c r="BH107" s="22">
        <f t="shared" si="30"/>
        <v>40219.129999999997</v>
      </c>
      <c r="BI107" s="22">
        <v>0</v>
      </c>
      <c r="BJ107" s="22">
        <v>0</v>
      </c>
      <c r="BK107" s="22">
        <v>0</v>
      </c>
      <c r="BL107" s="22">
        <v>40219.129999999997</v>
      </c>
      <c r="BM107" s="22">
        <v>0</v>
      </c>
      <c r="BN107" s="22">
        <f t="shared" si="31"/>
        <v>40219.129999999997</v>
      </c>
      <c r="BO107" s="22">
        <f t="shared" si="32"/>
        <v>126537.38999999998</v>
      </c>
      <c r="BP107" s="22">
        <f t="shared" si="21"/>
        <v>397517.34</v>
      </c>
      <c r="BQ107" s="22">
        <v>0</v>
      </c>
      <c r="BR107" s="22">
        <v>0</v>
      </c>
      <c r="BS107" s="22">
        <v>0</v>
      </c>
      <c r="BT107" s="22">
        <v>10054.780000000001</v>
      </c>
      <c r="BU107" s="22">
        <v>0</v>
      </c>
      <c r="BV107" s="30">
        <f t="shared" si="33"/>
        <v>10054.780000000001</v>
      </c>
      <c r="BW107" s="22">
        <v>0</v>
      </c>
      <c r="BX107" s="22">
        <v>0</v>
      </c>
      <c r="BY107" s="22">
        <v>0</v>
      </c>
      <c r="BZ107" s="22">
        <v>6864.0400000000009</v>
      </c>
      <c r="CA107" s="22">
        <v>0</v>
      </c>
      <c r="CB107" s="22">
        <f t="shared" si="34"/>
        <v>6864.0400000000009</v>
      </c>
      <c r="CC107" s="22">
        <v>0</v>
      </c>
      <c r="CD107" s="22">
        <v>0</v>
      </c>
      <c r="CE107" s="22">
        <v>0</v>
      </c>
      <c r="CF107" s="22">
        <v>5228.49</v>
      </c>
      <c r="CG107" s="22">
        <v>0</v>
      </c>
      <c r="CH107" s="30">
        <f t="shared" si="35"/>
        <v>5228.49</v>
      </c>
      <c r="CI107" s="30">
        <f t="shared" si="36"/>
        <v>22147.309999999998</v>
      </c>
      <c r="CJ107" s="30">
        <f t="shared" si="37"/>
        <v>419664.64999999997</v>
      </c>
    </row>
    <row r="108" spans="1:91" s="41" customFormat="1">
      <c r="A108" s="7"/>
      <c r="B108" s="7"/>
      <c r="C108" s="18">
        <f>SUM(C10:C107)</f>
        <v>14472027.560000001</v>
      </c>
      <c r="D108" s="18">
        <f t="shared" ref="D108:BA108" si="38">SUM(D7:D107)</f>
        <v>176801811.90000001</v>
      </c>
      <c r="E108" s="18">
        <f t="shared" si="38"/>
        <v>17399551.27</v>
      </c>
      <c r="F108" s="18">
        <f t="shared" si="38"/>
        <v>1275556.3699999999</v>
      </c>
      <c r="G108" s="18">
        <f t="shared" si="38"/>
        <v>26236297.280000005</v>
      </c>
      <c r="H108" s="18">
        <f t="shared" si="38"/>
        <v>2870659.7500000005</v>
      </c>
      <c r="I108" s="18">
        <f t="shared" si="38"/>
        <v>224583876.56999996</v>
      </c>
      <c r="J108" s="18">
        <f t="shared" si="38"/>
        <v>175195625.79999995</v>
      </c>
      <c r="K108" s="18">
        <f t="shared" si="38"/>
        <v>17293211.57</v>
      </c>
      <c r="L108" s="18">
        <f t="shared" si="38"/>
        <v>1255975.19</v>
      </c>
      <c r="M108" s="18">
        <f t="shared" si="38"/>
        <v>25815995.530000001</v>
      </c>
      <c r="N108" s="18">
        <f t="shared" si="38"/>
        <v>2713310.82</v>
      </c>
      <c r="O108" s="36">
        <f t="shared" si="38"/>
        <v>3726046.1099999994</v>
      </c>
      <c r="P108" s="18">
        <f t="shared" si="38"/>
        <v>226000165.01999989</v>
      </c>
      <c r="Q108" s="18">
        <f t="shared" si="38"/>
        <v>175803055.53000006</v>
      </c>
      <c r="R108" s="18">
        <f t="shared" si="38"/>
        <v>17508774.359999999</v>
      </c>
      <c r="S108" s="18">
        <f t="shared" si="38"/>
        <v>1259773.2000000002</v>
      </c>
      <c r="T108" s="18">
        <f t="shared" si="38"/>
        <v>25983513.550000001</v>
      </c>
      <c r="U108" s="18">
        <f t="shared" si="38"/>
        <v>2655627.0699999998</v>
      </c>
      <c r="V108" s="37">
        <f t="shared" si="38"/>
        <v>5187474.5999999996</v>
      </c>
      <c r="W108" s="18">
        <f t="shared" si="38"/>
        <v>228398218.30999988</v>
      </c>
      <c r="X108" s="18">
        <f t="shared" si="38"/>
        <v>693454287.46000028</v>
      </c>
      <c r="Y108" s="37">
        <f t="shared" si="38"/>
        <v>179745865.29837239</v>
      </c>
      <c r="Z108" s="37">
        <f t="shared" si="38"/>
        <v>17535095.190000005</v>
      </c>
      <c r="AA108" s="37">
        <f t="shared" si="38"/>
        <v>1281772.8</v>
      </c>
      <c r="AB108" s="37">
        <f t="shared" si="38"/>
        <v>26777976.929999996</v>
      </c>
      <c r="AC108" s="37">
        <f t="shared" si="38"/>
        <v>2471049.65</v>
      </c>
      <c r="AD108" s="37">
        <f t="shared" si="38"/>
        <v>435960</v>
      </c>
      <c r="AE108" s="38">
        <f t="shared" si="38"/>
        <v>228247719.8683722</v>
      </c>
      <c r="AF108" s="38">
        <f t="shared" si="38"/>
        <v>921702007.32837212</v>
      </c>
      <c r="AG108" s="38">
        <f t="shared" si="38"/>
        <v>179962495.9977057</v>
      </c>
      <c r="AH108" s="38">
        <f t="shared" si="38"/>
        <v>17492095.190000005</v>
      </c>
      <c r="AI108" s="38">
        <f t="shared" si="38"/>
        <v>1281772.8</v>
      </c>
      <c r="AJ108" s="38">
        <f t="shared" si="38"/>
        <v>26720448.070000004</v>
      </c>
      <c r="AK108" s="38">
        <f t="shared" si="38"/>
        <v>2462026.96</v>
      </c>
      <c r="AL108" s="38">
        <f>SUM(AL7:AL107)</f>
        <v>1404200</v>
      </c>
      <c r="AM108" s="38">
        <f t="shared" si="38"/>
        <v>229323039.01770559</v>
      </c>
      <c r="AN108" s="38">
        <f t="shared" si="38"/>
        <v>179842001.39470568</v>
      </c>
      <c r="AO108" s="38">
        <f t="shared" si="38"/>
        <v>17555095.190000005</v>
      </c>
      <c r="AP108" s="38">
        <f t="shared" si="38"/>
        <v>1281772.8</v>
      </c>
      <c r="AQ108" s="38">
        <f t="shared" si="38"/>
        <v>26814756.990000002</v>
      </c>
      <c r="AR108" s="38">
        <f t="shared" si="38"/>
        <v>2462508.63</v>
      </c>
      <c r="AS108" s="38">
        <f t="shared" si="38"/>
        <v>788480</v>
      </c>
      <c r="AT108" s="38">
        <f t="shared" si="38"/>
        <v>228744615.00470561</v>
      </c>
      <c r="AU108" s="38">
        <f t="shared" si="38"/>
        <v>686315373.89078319</v>
      </c>
      <c r="AV108" s="37">
        <f t="shared" si="38"/>
        <v>179955627.80470571</v>
      </c>
      <c r="AW108" s="37">
        <f t="shared" si="38"/>
        <v>17617095.190000005</v>
      </c>
      <c r="AX108" s="37">
        <f t="shared" si="38"/>
        <v>1281772.8</v>
      </c>
      <c r="AY108" s="37">
        <f t="shared" si="38"/>
        <v>26494472.810000002</v>
      </c>
      <c r="AZ108" s="37">
        <f t="shared" si="38"/>
        <v>3055629.5750000002</v>
      </c>
      <c r="BA108" s="37">
        <f t="shared" si="38"/>
        <v>590520</v>
      </c>
      <c r="BB108" s="37">
        <f>SUM(AV108:AZ108)</f>
        <v>228404598.17970571</v>
      </c>
      <c r="BC108" s="37">
        <f>SUM(BC7:BC107)</f>
        <v>179682570.01470575</v>
      </c>
      <c r="BD108" s="37">
        <f>SUM(BD7:BD107)</f>
        <v>17617095.190000005</v>
      </c>
      <c r="BE108" s="37">
        <f>SUM(BE7:BE107)</f>
        <v>1281772.8</v>
      </c>
      <c r="BF108" s="37">
        <f>SUM(BF7:BF107)</f>
        <v>26422262.160000008</v>
      </c>
      <c r="BG108" s="37">
        <f>SUM(BG7:BG107)</f>
        <v>3055629.5750000002</v>
      </c>
      <c r="BH108" s="37">
        <f>SUM(BC108:BG108)</f>
        <v>228059329.73970574</v>
      </c>
      <c r="BI108" s="37">
        <f t="shared" ref="BI108:CJ108" si="39">SUM(BI7:BI107)</f>
        <v>179557760.03470573</v>
      </c>
      <c r="BJ108" s="37">
        <f t="shared" si="39"/>
        <v>17617095.190000005</v>
      </c>
      <c r="BK108" s="37">
        <f t="shared" si="39"/>
        <v>1281772.8</v>
      </c>
      <c r="BL108" s="37">
        <f t="shared" si="39"/>
        <v>26246190.290000003</v>
      </c>
      <c r="BM108" s="37">
        <f t="shared" si="39"/>
        <v>3055629.5750000002</v>
      </c>
      <c r="BN108" s="37">
        <f t="shared" si="39"/>
        <v>227758447.88970554</v>
      </c>
      <c r="BO108" s="37">
        <f t="shared" si="39"/>
        <v>684812895.8091166</v>
      </c>
      <c r="BP108" s="37">
        <f t="shared" si="39"/>
        <v>2064582557.1598997</v>
      </c>
      <c r="BQ108" s="37">
        <f t="shared" si="39"/>
        <v>43466311.919999979</v>
      </c>
      <c r="BR108" s="37">
        <f t="shared" si="39"/>
        <v>4404273.830000001</v>
      </c>
      <c r="BS108" s="37">
        <f t="shared" si="39"/>
        <v>320443.2</v>
      </c>
      <c r="BT108" s="37">
        <f t="shared" si="39"/>
        <v>6531909.1600000011</v>
      </c>
      <c r="BU108" s="37">
        <f t="shared" si="39"/>
        <v>763907.40800000005</v>
      </c>
      <c r="BV108" s="38">
        <f t="shared" si="39"/>
        <v>55486845.518000029</v>
      </c>
      <c r="BW108" s="37">
        <f t="shared" si="39"/>
        <v>29666685.779999997</v>
      </c>
      <c r="BX108" s="37">
        <f t="shared" si="39"/>
        <v>3006638.76</v>
      </c>
      <c r="BY108" s="37">
        <f t="shared" si="39"/>
        <v>218755.00000000003</v>
      </c>
      <c r="BZ108" s="37">
        <f t="shared" si="39"/>
        <v>4459098.4399999985</v>
      </c>
      <c r="CA108" s="37">
        <f t="shared" si="39"/>
        <v>521491.9690000001</v>
      </c>
      <c r="CB108" s="37">
        <f t="shared" si="39"/>
        <v>37872669.949000008</v>
      </c>
      <c r="CC108" s="38">
        <f t="shared" si="39"/>
        <v>22595323.399999999</v>
      </c>
      <c r="CD108" s="38">
        <f t="shared" si="39"/>
        <v>2290222.3699999996</v>
      </c>
      <c r="CE108" s="38">
        <f t="shared" si="39"/>
        <v>166630.47</v>
      </c>
      <c r="CF108" s="38">
        <f t="shared" si="39"/>
        <v>3396592.72</v>
      </c>
      <c r="CG108" s="38">
        <f t="shared" si="39"/>
        <v>397231.84500000003</v>
      </c>
      <c r="CH108" s="38">
        <f t="shared" si="39"/>
        <v>28846000.805000011</v>
      </c>
      <c r="CI108" s="38">
        <f t="shared" si="39"/>
        <v>122205516.27199994</v>
      </c>
      <c r="CJ108" s="38">
        <f t="shared" si="39"/>
        <v>2186788073.4319005</v>
      </c>
      <c r="CK108" s="39"/>
      <c r="CL108" s="40"/>
      <c r="CM108" s="40"/>
    </row>
    <row r="109" spans="1:91">
      <c r="V109" s="39"/>
      <c r="AE109" s="6"/>
      <c r="AG109" s="6"/>
      <c r="AH109" s="6"/>
      <c r="AJ109" s="6"/>
      <c r="AM109" s="4"/>
      <c r="AT109" s="42"/>
      <c r="BV109" s="6"/>
      <c r="CI109" s="6"/>
      <c r="CJ109" s="4"/>
      <c r="CL109" s="6"/>
      <c r="CM109" s="6"/>
    </row>
    <row r="110" spans="1:91">
      <c r="V110" s="39"/>
      <c r="AM110" s="6"/>
      <c r="BV110" s="6"/>
      <c r="CJ110" s="4"/>
    </row>
    <row r="111" spans="1:91">
      <c r="G111" s="43"/>
      <c r="H111" s="43"/>
      <c r="Y111" s="44"/>
      <c r="Z111" s="44"/>
      <c r="AA111" s="44"/>
      <c r="AB111" s="44"/>
      <c r="AC111" s="44"/>
      <c r="AE111" s="6"/>
      <c r="AN111" s="4"/>
      <c r="AO111" s="4"/>
      <c r="AP111" s="4"/>
      <c r="AQ111" s="4"/>
      <c r="AR111" s="4"/>
      <c r="AS111" s="4"/>
      <c r="AU111" s="6"/>
      <c r="CJ111" s="4"/>
      <c r="CM111" s="6"/>
    </row>
    <row r="112" spans="1:91">
      <c r="AN112" s="42"/>
      <c r="CJ112" s="4"/>
    </row>
    <row r="113" spans="1:88" s="4" customForma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  <c r="S113" s="2"/>
      <c r="T113" s="2"/>
      <c r="U113" s="2"/>
      <c r="V113" s="46"/>
      <c r="W113" s="2"/>
      <c r="X113" s="2"/>
      <c r="AE113" s="6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BV113" s="5"/>
      <c r="CC113" s="5"/>
      <c r="CD113" s="5"/>
      <c r="CE113" s="5"/>
      <c r="CF113" s="5"/>
      <c r="CG113" s="5"/>
      <c r="CH113" s="5"/>
      <c r="CI113" s="5"/>
      <c r="CJ113" s="6"/>
    </row>
    <row r="114" spans="1:88" s="4" customForma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  <c r="S114" s="2"/>
      <c r="T114" s="2"/>
      <c r="U114" s="2"/>
      <c r="V114" s="46"/>
      <c r="W114" s="2"/>
      <c r="X114" s="2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42"/>
      <c r="AS114" s="42"/>
      <c r="AT114" s="5"/>
      <c r="AU114" s="42"/>
      <c r="BV114" s="5"/>
      <c r="CC114" s="5"/>
      <c r="CD114" s="5"/>
      <c r="CE114" s="5"/>
      <c r="CF114" s="5"/>
      <c r="CG114" s="5"/>
      <c r="CH114" s="5"/>
      <c r="CI114" s="5"/>
      <c r="CJ114" s="45"/>
    </row>
    <row r="115" spans="1:88" s="4" customForma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2"/>
      <c r="S115" s="2"/>
      <c r="T115" s="2"/>
      <c r="U115" s="2"/>
      <c r="V115" s="46"/>
      <c r="W115" s="2"/>
      <c r="X115" s="2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BV115" s="5"/>
      <c r="CC115" s="5"/>
      <c r="CD115" s="5"/>
      <c r="CE115" s="5"/>
      <c r="CF115" s="5"/>
      <c r="CG115" s="5"/>
      <c r="CH115" s="5"/>
      <c r="CI115" s="5"/>
      <c r="CJ115" s="6"/>
    </row>
    <row r="116" spans="1:88" s="4" customForma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2"/>
      <c r="S116" s="2"/>
      <c r="T116" s="2"/>
      <c r="U116" s="2"/>
      <c r="V116" s="46"/>
      <c r="W116" s="2"/>
      <c r="X116" s="2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BV116" s="5"/>
      <c r="CC116" s="5"/>
      <c r="CD116" s="5"/>
      <c r="CE116" s="5"/>
      <c r="CF116" s="5"/>
      <c r="CG116" s="5"/>
      <c r="CH116" s="5"/>
      <c r="CI116" s="5"/>
      <c r="CJ116" s="6"/>
    </row>
    <row r="117" spans="1:88" s="4" customForma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2"/>
      <c r="S117" s="2"/>
      <c r="T117" s="2"/>
      <c r="U117" s="2"/>
      <c r="V117" s="46"/>
      <c r="W117" s="2"/>
      <c r="X117" s="2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BV117" s="5"/>
      <c r="CC117" s="5"/>
      <c r="CD117" s="5"/>
      <c r="CE117" s="5"/>
      <c r="CF117" s="5"/>
      <c r="CG117" s="5"/>
      <c r="CH117" s="5"/>
      <c r="CI117" s="5"/>
      <c r="CJ117" s="6"/>
    </row>
  </sheetData>
  <autoFilter ref="A6:CM116">
    <filterColumn colId="52"/>
  </autoFilter>
  <mergeCells count="19">
    <mergeCell ref="CJ5:CJ6"/>
    <mergeCell ref="BO5:BO6"/>
    <mergeCell ref="BP5:BP6"/>
    <mergeCell ref="BQ5:BV5"/>
    <mergeCell ref="BW5:CB5"/>
    <mergeCell ref="CC5:CH5"/>
    <mergeCell ref="CI5:CI6"/>
    <mergeCell ref="AG5:AM5"/>
    <mergeCell ref="AN5:AT5"/>
    <mergeCell ref="AU5:AU6"/>
    <mergeCell ref="AV5:BB5"/>
    <mergeCell ref="BC5:BH5"/>
    <mergeCell ref="BI5:BN5"/>
    <mergeCell ref="C5:C6"/>
    <mergeCell ref="D5:I5"/>
    <mergeCell ref="J5:P5"/>
    <mergeCell ref="Q5:W5"/>
    <mergeCell ref="X5:X6"/>
    <mergeCell ref="Y5:A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12.09.2022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2022-09-14T12:16:12Z</dcterms:modified>
</cp:coreProperties>
</file>